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61" windowWidth="20535" windowHeight="9285" activeTab="0"/>
  </bookViews>
  <sheets>
    <sheet name="Sheet1" sheetId="1" r:id="rId1"/>
    <sheet name="Sheet2" sheetId="2" r:id="rId2"/>
    <sheet name="Sheet3" sheetId="3" r:id="rId3"/>
  </sheets>
  <definedNames>
    <definedName name="a">'Sheet1'!$H$13</definedName>
    <definedName name="a_coeff">'Sheet1'!$G$26</definedName>
    <definedName name="adi">'Sheet1'!$H$14</definedName>
    <definedName name="Alpha">'Sheet1'!$H$56</definedName>
    <definedName name="Alpha_opt">'Sheet1'!$F$60</definedName>
    <definedName name="Alpha90">'Sheet1'!$F$63</definedName>
    <definedName name="AlphaOPt">'Sheet1'!$C$56</definedName>
    <definedName name="Ap">'Sheet1'!$F$14</definedName>
    <definedName name="Aw">'Sheet1'!$E$7</definedName>
    <definedName name="b">'Sheet1'!$H$17</definedName>
    <definedName name="Beta">'Sheet1'!$A$14</definedName>
    <definedName name="Beta_a">'Sheet1'!$C$105</definedName>
    <definedName name="Betaa">'Sheet1'!$C$27</definedName>
    <definedName name="Boat_Speed">'Sheet1'!$C$21</definedName>
    <definedName name="Boat_wt">'Sheet1'!$F$8</definedName>
    <definedName name="CB_Boat">'Sheet1'!$I$11</definedName>
    <definedName name="Cbe">'Sheet1'!$B$16</definedName>
    <definedName name="CD0">'Sheet1'!$G$14</definedName>
    <definedName name="ce">'Sheet1'!$B$15</definedName>
    <definedName name="Cf">'Sheet1'!$C$24</definedName>
    <definedName name="CG_Boat">'Sheet1'!$I$10</definedName>
    <definedName name="Coeff0">'Sheet1'!$A$97</definedName>
    <definedName name="Coeff1">'Sheet1'!$A$96</definedName>
    <definedName name="Coeff2">'Sheet1'!$A$95</definedName>
    <definedName name="Coeff3">'Sheet1'!$A$94</definedName>
    <definedName name="Coeff4">'Sheet1'!$A$93</definedName>
    <definedName name="Const1">'Sheet1'!$C$14</definedName>
    <definedName name="Const3">'Sheet1'!$E$12</definedName>
    <definedName name="CosBeta">'Sheet1'!$A$15</definedName>
    <definedName name="CosBetaa">'Sheet1'!$C$26</definedName>
    <definedName name="cplusd">'Sheet1'!$H$14</definedName>
    <definedName name="Crew">'Sheet1'!$F$9</definedName>
    <definedName name="Ct">'Sheet1'!$A$10</definedName>
    <definedName name="Ct_opt">'Sheet1'!$F$65</definedName>
    <definedName name="Cw">'Sheet1'!$G$16</definedName>
    <definedName name="Cwf">'Sheet1'!$G$17</definedName>
    <definedName name="Delta">'Sheet1'!$G$11</definedName>
    <definedName name="Eps">'Sheet1'!$E$25</definedName>
    <definedName name="Eps_actual">'Sheet1'!$E$55</definedName>
    <definedName name="Eps_Opt">'Sheet1'!$E$55</definedName>
    <definedName name="F">'Sheet1'!$F$30</definedName>
    <definedName name="Fd">'Sheet1'!$C$37</definedName>
    <definedName name="Fdi">'Sheet1'!$C$38</definedName>
    <definedName name="Fh">'Sheet1'!$E$31</definedName>
    <definedName name="Form_Drag">'Sheet1'!$E$32</definedName>
    <definedName name="Fr">'Sheet1'!$E$24</definedName>
    <definedName name="Fr_restricted">'Sheet1'!$D$48</definedName>
    <definedName name="Fv">'Sheet1'!$E$36</definedName>
    <definedName name="Fv_restricted">'Sheet1'!$D$51</definedName>
    <definedName name="halfRHOa">'Sheet1'!$C$9</definedName>
    <definedName name="Heel_arm">'Sheet1'!$G$12</definedName>
    <definedName name="Help">'Sheet1'!$E$44</definedName>
    <definedName name="Ind_Drag">'Sheet1'!$E$33</definedName>
    <definedName name="K_v">'Sheet1'!$E$27</definedName>
    <definedName name="Kappa">'Sheet1'!$E$15</definedName>
    <definedName name="Kdash">'Sheet1'!$C$35</definedName>
    <definedName name="knot">'Sheet1'!$C$17</definedName>
    <definedName name="Kv">'Sheet1'!$C$32</definedName>
    <definedName name="lamda">'Sheet1'!$E$29</definedName>
    <definedName name="LWL">'Sheet1'!$E$14</definedName>
    <definedName name="MaxBoom">'Sheet1'!$E$8</definedName>
    <definedName name="MaxCt">'Sheet1'!$D$55</definedName>
    <definedName name="MaxDrive">'Sheet1'!$A$55</definedName>
    <definedName name="MaxVaOpt">'Sheet1'!$E$18</definedName>
    <definedName name="nu">'Sheet1'!$D$8</definedName>
    <definedName name="Pi">'Sheet1'!$A$7</definedName>
    <definedName name="Pitch_arm">'Sheet1'!$I$12</definedName>
    <definedName name="Pitch_Mom">'Sheet1'!$I$16</definedName>
    <definedName name="Re">'Sheet1'!$C$23</definedName>
    <definedName name="Reqd_Alpha">'Sheet1'!$D$45</definedName>
    <definedName name="Rhow">'Sheet1'!$F$15</definedName>
    <definedName name="Right_arm">'Sheet1'!$H$12</definedName>
    <definedName name="Root">'Sheet1'!$E$28</definedName>
    <definedName name="S_exit">'Sheet1'!$F$61</definedName>
    <definedName name="Sa">'Sheet1'!$C$7</definedName>
    <definedName name="Sbe">'Sheet1'!$A$16</definedName>
    <definedName name="se">'Sheet1'!$C$16</definedName>
    <definedName name="turn">'Sheet1'!$F$62</definedName>
    <definedName name="turn90">'Sheet1'!$F$64</definedName>
    <definedName name="V">'Sheet1'!$E$13</definedName>
    <definedName name="v_boat">'Sheet1'!$C$22</definedName>
    <definedName name="V_FtPerSec">'Sheet1'!$F$13</definedName>
    <definedName name="Va">'Sheet1'!$C$25</definedName>
    <definedName name="W">'Sheet1'!$F$11</definedName>
    <definedName name="Wave_Res">'Sheet1'!$E$34</definedName>
  </definedNames>
  <calcPr fullCalcOnLoad="1"/>
</workbook>
</file>

<file path=xl/sharedStrings.xml><?xml version="1.0" encoding="utf-8"?>
<sst xmlns="http://schemas.openxmlformats.org/spreadsheetml/2006/main" count="59" uniqueCount="59">
  <si>
    <t>Sail Characteristics(Sail(2), Fig.83)</t>
  </si>
  <si>
    <t>Alpha</t>
  </si>
  <si>
    <t>Ct</t>
  </si>
  <si>
    <t>Eps</t>
  </si>
  <si>
    <t>v(0)</t>
  </si>
  <si>
    <t>When drastically increasing Beta, change Epsilon and Ct also</t>
  </si>
  <si>
    <t>Velocity Prediction Program</t>
  </si>
  <si>
    <t>Force on sail uses formula on p.65 with Ct values estimated from pp. 71-72 and p.130</t>
  </si>
  <si>
    <t xml:space="preserve"> </t>
  </si>
  <si>
    <t>See Marchaj, p235</t>
  </si>
  <si>
    <t>Wave making resistance coeff Cw</t>
  </si>
  <si>
    <t>assumes it is proportional to Weight and inversely prop. to L^(kappa/2)</t>
  </si>
  <si>
    <t>Coeff .57 is based on "New York 32" &amp; kappa=4.5 (Marchaj p253)</t>
  </si>
  <si>
    <t>or R&amp;C, Table A.5 for:</t>
  </si>
  <si>
    <t>For calculation of wetted area(Aw), I assume hulls triangular with 60 degree angle at bottom</t>
  </si>
  <si>
    <t>Planform area (Ap) is assumed to be Aw/2</t>
  </si>
  <si>
    <t>Cl^2 (R&amp;C 11.19 with RA small)</t>
  </si>
  <si>
    <t>Ct*sin(Betaa-eps)</t>
  </si>
  <si>
    <t>Set cell E36 to 0</t>
  </si>
  <si>
    <t>Calcs for Boom possibly fully out</t>
  </si>
  <si>
    <t>Ct*cos(Betaa-eps)</t>
  </si>
  <si>
    <t>Calculate reduced Alpha</t>
  </si>
  <si>
    <t>to stop capsize</t>
  </si>
  <si>
    <t>Heeling at optimum</t>
  </si>
  <si>
    <t>angle of incidence</t>
  </si>
  <si>
    <t>Alpha&lt;5 deg</t>
  </si>
  <si>
    <t>Delta(CtCOS)</t>
  </si>
  <si>
    <t>Delta(CtSIN)</t>
  </si>
  <si>
    <t>Set cell d51 to 0</t>
  </si>
  <si>
    <t>See Marchaj, p253</t>
  </si>
  <si>
    <t>Cf</t>
  </si>
  <si>
    <t>by changing C21</t>
  </si>
  <si>
    <t>Estimates for Caper Cat 14</t>
  </si>
  <si>
    <t>by changing C21 if HELP</t>
  </si>
  <si>
    <t xml:space="preserve"> not displayed in E44</t>
  </si>
  <si>
    <t>if HELP displayed in E44</t>
  </si>
  <si>
    <t>Side force calculated from hulls</t>
  </si>
  <si>
    <t>Side force calcd. from sail</t>
  </si>
  <si>
    <t>Checking eqn ( lift.*)</t>
  </si>
  <si>
    <t>Ct=0.75+0.06Alpha</t>
  </si>
  <si>
    <t>Angles 5 to 15</t>
  </si>
  <si>
    <t>ACCEPTABLE?</t>
  </si>
  <si>
    <t>Kinematic Viscosity of water</t>
  </si>
  <si>
    <t>SAILING CALCULATIONS based on Marchaj (Sailing Theory and Practice, Edn 1,1973)</t>
  </si>
  <si>
    <t>Other References:</t>
  </si>
  <si>
    <t>Engineering Fluid Mechanics, Roberson and Crowe, Edn 5,1995</t>
  </si>
  <si>
    <t>Fig.45 and "2",Fig. 83</t>
  </si>
  <si>
    <t xml:space="preserve">Sail a compromise between </t>
  </si>
  <si>
    <t>for skin friction drag,</t>
  </si>
  <si>
    <t>and wave-making resistance</t>
  </si>
  <si>
    <t>lnduced drag due to leeway,</t>
  </si>
  <si>
    <t xml:space="preserve">Allowance is made </t>
  </si>
  <si>
    <t xml:space="preserve">Schlichting, R&amp;C (9.45),Fig 9.13 </t>
  </si>
  <si>
    <t>I have allowed for hull roughness</t>
  </si>
  <si>
    <t>(See fig. 148, p240)</t>
  </si>
  <si>
    <t>0.8 from hulls, 0.2 from rudders</t>
  </si>
  <si>
    <t xml:space="preserve">Tools &gt; Goal Seek </t>
  </si>
  <si>
    <t>Tools &gt; Goal Seek</t>
  </si>
  <si>
    <t>and used 0.0040</t>
  </si>
</sst>
</file>

<file path=xl/styles.xml><?xml version="1.0" encoding="utf-8"?>
<styleSheet xmlns="http://schemas.openxmlformats.org/spreadsheetml/2006/main">
  <numFmts count="18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Bs&quot;* #,##0_);_(&quot;Bs&quot;* \(#,##0\);_(&quot;Bs&quot;* &quot;-&quot;_);_(@_)"/>
    <numFmt numFmtId="167" formatCode="_(&quot;Bs&quot;* #,##0.00_);_(&quot;Bs&quot;* \(#,##0.00\);_(&quot;Bs&quot;* &quot;-&quot;??_);_(@_)"/>
    <numFmt numFmtId="168" formatCode="0.0000"/>
    <numFmt numFmtId="169" formatCode="&quot;Pi=&quot;\ 0.0000"/>
    <numFmt numFmtId="170" formatCode="&quot;Sa=&quot;\ 000"/>
    <numFmt numFmtId="171" formatCode="&quot;Ct=&quot;\ 0.00"/>
    <numFmt numFmtId="172" formatCode="&quot;Const3=&quot;\ 0.000"/>
    <numFmt numFmtId="173" formatCode="&quot;Sin(Beta-Eps)=&quot;0.000"/>
    <numFmt numFmtId="174" formatCode="&quot;Sin(Eps)=&quot;\ 0.000"/>
    <numFmt numFmtId="175" formatCode="&quot;Coeff4=&quot;\ 0.000"/>
    <numFmt numFmtId="176" formatCode="&quot;Coeff3=&quot;\ 0.000"/>
    <numFmt numFmtId="177" formatCode="&quot;Coeff2=&quot;\ 0.000"/>
    <numFmt numFmtId="178" formatCode="&quot;Coeff1=&quot;\ 0.000"/>
    <numFmt numFmtId="179" formatCode="&quot;Coeff0=&quot;\ 0.000"/>
    <numFmt numFmtId="180" formatCode="&quot;Apparent rel V=&quot;0.0000"/>
    <numFmt numFmtId="181" formatCode="&quot;App Beta=&quot;0.00&quot;deg&quot;"/>
    <numFmt numFmtId="182" formatCode="&quot;Alpha-opt=&quot;\ 0.0&quot;deg&quot;"/>
    <numFmt numFmtId="183" formatCode="&quot;turn=&quot;0.0&quot;deg&quot;"/>
    <numFmt numFmtId="184" formatCode="&quot;Alpha_opt+90=&quot;\ 0.0"/>
    <numFmt numFmtId="185" formatCode="&quot;turn+90=&quot;0.0"/>
    <numFmt numFmtId="186" formatCode="&quot;Alpha=&quot;0.0"/>
    <numFmt numFmtId="187" formatCode="&quot;Ct=&quot;0.000"/>
    <numFmt numFmtId="188" formatCode="&quot;Ct_opt=&quot;0.000"/>
    <numFmt numFmtId="189" formatCode="&quot;Eps_opt=&quot;0.00&quot;deg&quot;"/>
    <numFmt numFmtId="190" formatCode="&quot;Eps=&quot;\ #0.0&quot;deg&quot;"/>
    <numFmt numFmtId="191" formatCode="&quot;Eps=&quot;0.0&quot;deg&quot;"/>
    <numFmt numFmtId="192" formatCode="&quot;S_exit=&quot;\ 0.0&quot;deg&quot;"/>
    <numFmt numFmtId="193" formatCode="0.00000"/>
    <numFmt numFmtId="194" formatCode="&quot; Rhow=&quot;\ 0.000"/>
    <numFmt numFmtId="195" formatCode="&quot;.5* Rhow*Ap=&quot;\ 0.0000"/>
    <numFmt numFmtId="196" formatCode="&quot;Cw=&quot;0.000"/>
    <numFmt numFmtId="197" formatCode="&quot;1 Knot=&quot;\ 0.000&quot;ft/s&quot;"/>
    <numFmt numFmtId="198" formatCode="&quot;Cos(Beta-Eps)=&quot;0.000"/>
    <numFmt numFmtId="199" formatCode="&quot;Cos(Eps)=&quot;\ 0.000"/>
    <numFmt numFmtId="201" formatCode="&quot;V=&quot;\ #0.00&quot; ft/s&quot;"/>
    <numFmt numFmtId="202" formatCode="&quot;Kdash=&quot;\ #00.00"/>
    <numFmt numFmtId="203" formatCode="&quot;Root=&quot;\ #00.000"/>
    <numFmt numFmtId="204" formatCode="&quot;COS(BetaA)=&quot;\ 0.000"/>
    <numFmt numFmtId="205" formatCode="&quot;Cwf=Cw/(...)=&quot;#0.00"/>
    <numFmt numFmtId="206" formatCode="&quot;Va=&quot;\ #0.000&quot; ft/s&quot;"/>
    <numFmt numFmtId="207" formatCode="&quot; &quot;\ #0.000&quot; ft/s&quot;"/>
    <numFmt numFmtId="208" formatCode="&quot;Fr=&quot;\ #00.000&quot; lbs&quot;"/>
    <numFmt numFmtId="209" formatCode="&quot;DFr/Dv=&quot;#\ 00.000"/>
    <numFmt numFmtId="210" formatCode="&quot;DFd/Dv=&quot;#\ 00.000"/>
    <numFmt numFmtId="211" formatCode="&quot;Lamdash=&quot;\ #00.0000"/>
    <numFmt numFmtId="212" formatCode="&quot;DFdi/Dv=&quot;#\ 00.000"/>
    <numFmt numFmtId="213" formatCode="&quot; &quot;\ 00.0000&quot;knots&quot;"/>
    <numFmt numFmtId="214" formatCode="&quot;DWr/Dv=&quot;#\ 00.000"/>
    <numFmt numFmtId="215" formatCode="&quot;Wave Res=&quot;\ #00.0000&quot; lbs&quot;"/>
    <numFmt numFmtId="216" formatCode="&quot;Fv=&quot;\ #00.0000&quot; lbs&quot;"/>
    <numFmt numFmtId="217" formatCode="&quot;DFv/Dv=&quot;#\ 00.000"/>
    <numFmt numFmtId="218" formatCode="\ #0.000&quot; ft/s&quot;"/>
    <numFmt numFmtId="219" formatCode="&quot;LWL=&quot;\ 00"/>
    <numFmt numFmtId="220" formatCode="&quot;Ind drag=&quot;\ #0.0000&quot; lbs&quot;"/>
    <numFmt numFmtId="221" formatCode="&quot;Kappa=&quot;\ #.#0"/>
    <numFmt numFmtId="222" formatCode="&quot;Cw=&quot;#.0000000"/>
    <numFmt numFmtId="223" formatCode="&quot;CD0=&quot;0.0000"/>
    <numFmt numFmtId="224" formatCode="&quot;Cf=&quot;\ 0.0000"/>
    <numFmt numFmtId="225" formatCode="&quot;LWL/nu=&quot;#0000000"/>
    <numFmt numFmtId="227" formatCode="&quot;Delta=&quot;#0.000&quot;tons&quot;"/>
    <numFmt numFmtId="228" formatCode="&quot;Fh/Fr=&quot;#0.0000"/>
    <numFmt numFmtId="229" formatCode="&quot;Betaa=&quot;\ #00.000&quot; deg&quot;"/>
    <numFmt numFmtId="230" formatCode="&quot;Fh=&quot;000.000"/>
    <numFmt numFmtId="231" formatCode="&quot;Heeling Moment=&quot;#000&quot;ftlb&quot;"/>
    <numFmt numFmtId="232" formatCode="&quot;Wind (V)=&quot;\ 00.0&quot; knots&quot;"/>
    <numFmt numFmtId="233" formatCode="&quot;Boat Weight=&quot;##000&quot; lbs&quot;"/>
    <numFmt numFmtId="234" formatCode="&quot;Crew Weight=&quot;##000&quot; lbs&quot;"/>
    <numFmt numFmtId="235" formatCode="&quot;Total Weight(W)=&quot;##000&quot; lbs&quot;"/>
    <numFmt numFmtId="237" formatCode="&quot;Fs=&quot;#00.00"/>
    <numFmt numFmtId="238" formatCode="&quot;Fd=&quot;#00.00"/>
    <numFmt numFmtId="239" formatCode="&quot;Wetted Area(Aw)=&quot;\ ##0.00"/>
    <numFmt numFmtId="240" formatCode="&quot;Planform A(Ap)=&quot;\ #0.00\ &quot;sq ft&quot;"/>
    <numFmt numFmtId="241" formatCode="&quot;Sq=&quot;\ #00.000"/>
    <numFmt numFmtId="242" formatCode="&quot;v=&quot;#0.000&quot;knots&quot;"/>
    <numFmt numFmtId="243" formatCode="&quot;Kdash=&quot;\ #00.0000"/>
    <numFmt numFmtId="244" formatCode="&quot;Kin visc, nu=&quot;#.0000000"/>
    <numFmt numFmtId="245" formatCode="&quot;Const1=&quot;\ 0.0000&quot; M,p65&quot;"/>
    <numFmt numFmtId="246" formatCode="&quot;Alpha_opt=&quot;\ 00&quot; deg&quot;"/>
    <numFmt numFmtId="247" formatCode="&quot;Eps_opt=&quot;\ 00&quot; deg&quot;"/>
    <numFmt numFmtId="248" formatCode="0.000000"/>
    <numFmt numFmtId="249" formatCode="&quot;Betaa=&quot;00.0"/>
    <numFmt numFmtId="250" formatCode="&quot;Max value=&quot;0.00000"/>
    <numFmt numFmtId="251" formatCode="&quot;Row no.=&quot;#0"/>
    <numFmt numFmtId="252" formatCode="&quot;Ct =&quot;\ 0.00"/>
    <numFmt numFmtId="253" formatCode="&quot;COS(Beta)=&quot;\ 0.0000"/>
    <numFmt numFmtId="254" formatCode="&quot;Fs/Fd=&quot;0.000"/>
    <numFmt numFmtId="255" formatCode="&quot;Pitching  Moment=&quot;#000&quot;ftlb&quot;"/>
    <numFmt numFmtId="256" formatCode="&quot;Side Righting Mom=&quot;#000&quot;ftlb&quot;"/>
    <numFmt numFmtId="257" formatCode="&quot;Alpha =&quot;\ 00.0&quot; deg&quot;"/>
    <numFmt numFmtId="258" formatCode="&quot;Eps =&quot;\ 00.0&quot; deg&quot;"/>
    <numFmt numFmtId="259" formatCode="&quot;Disp/Length ratio=&quot;###"/>
    <numFmt numFmtId="260" formatCode="&quot;CL_inf=&quot;\ #0.0000"/>
    <numFmt numFmtId="261" formatCode="&quot;CL-AR0.2=&quot;\ #0.0000"/>
    <numFmt numFmtId="262" formatCode="&quot;FL=&quot;\ #000&quot; lb&quot;"/>
    <numFmt numFmtId="263" formatCode="&quot;Lat Right arm=&quot;0.00&quot;ft&quot;"/>
    <numFmt numFmtId="264" formatCode="&quot;FH=&quot;#00.0"/>
    <numFmt numFmtId="265" formatCode="&quot;SIN(B-eps)=&quot;\ #0.000"/>
    <numFmt numFmtId="266" formatCode="&quot;COS(B-eps)=&quot;\ #0.000"/>
    <numFmt numFmtId="267" formatCode="&quot;Max boom angle=&quot;00&quot;deg&quot;"/>
    <numFmt numFmtId="268" formatCode="&quot;Alpha_opt =&quot;\ 00.0&quot; deg&quot;"/>
    <numFmt numFmtId="269" formatCode="&quot;Max Drive=&quot;0.00000"/>
    <numFmt numFmtId="270" formatCode="&quot;Max Ct =&quot;\ 0.00"/>
    <numFmt numFmtId="271" formatCode="&quot;Eps_opt =&quot;\ 00.0&quot; deg&quot;"/>
    <numFmt numFmtId="272" formatCode="&quot;Max Va Opt=&quot;00&quot; deg&quot;"/>
    <numFmt numFmtId="273" formatCode="&quot;Actual Alpha=&quot;00.0&quot; deg&quot;"/>
    <numFmt numFmtId="274" formatCode="&quot;Whole deg= &quot;00"/>
    <numFmt numFmtId="275" formatCode="&quot;Ct*SIN()=&quot;0.0000"/>
    <numFmt numFmtId="276" formatCode="&quot;Eps=&quot;#0.00"/>
    <numFmt numFmtId="277" formatCode="&quot;CD_AR0.2=&quot;\ #00.000000"/>
    <numFmt numFmtId="278" formatCode="&quot;FD=&quot;\ #00.00000&quot; lbs&quot;"/>
    <numFmt numFmtId="279" formatCode="&quot;Lamda=&quot;\ #0.00&quot; deg&quot;"/>
    <numFmt numFmtId="280" formatCode="&quot;Ind drag=&quot;\ #0.0&quot; lbs&quot;"/>
    <numFmt numFmtId="281" formatCode="&quot;Wave Res=&quot;\ #00.0&quot; lbs&quot;"/>
    <numFmt numFmtId="282" formatCode="&quot;Driving Force, Fr=&quot;\ #00.0&quot; lbs&quot;"/>
    <numFmt numFmtId="283" formatCode="&quot;.5* Rhow*Ap=&quot;00.00"/>
    <numFmt numFmtId="284" formatCode="&quot;.5* Rhow*Aw=&quot;\ 00.00"/>
    <numFmt numFmtId="285" formatCode="&quot;CL_lowAR=&quot;\ #0.0000"/>
    <numFmt numFmtId="286" formatCode="&quot;FD=&quot;\ #0.00&quot; lbs&quot;"/>
    <numFmt numFmtId="287" formatCode="&quot;CD_AR0.1=&quot;\ \ 0.000000"/>
    <numFmt numFmtId="288" formatCode="&quot;Cf-reynolds=&quot;0.00000"/>
    <numFmt numFmtId="289" formatCode="&quot;Speed/Length ratio=&quot;\ 0.00"/>
    <numFmt numFmtId="290" formatCode="&quot;Factor=&quot;#000.0"/>
    <numFmt numFmtId="291" formatCode="&quot;Reqd incidence=&quot;\ #0.00&quot; deg&quot;"/>
    <numFmt numFmtId="292" formatCode="&quot;Ct COS=&quot;0.00000"/>
    <numFmt numFmtId="293" formatCode="&quot;Ct SIN=&quot;0.00000"/>
    <numFmt numFmtId="294" formatCode="&quot;Restoring moment=&quot;000.00"/>
    <numFmt numFmtId="295" formatCode="0.000"/>
    <numFmt numFmtId="296" formatCode="&quot;Beta=&quot;\ ##0.0&quot;deg&quot;"/>
    <numFmt numFmtId="297" formatCode="&quot; CD0=Cf=&quot;0.00000"/>
    <numFmt numFmtId="298" formatCode="&quot;Cl/Lam =a&lt;.11=&quot;0.000"/>
    <numFmt numFmtId="299" formatCode="&quot;Heeling F, Fh=&quot;\ #00.0&quot; lbs&quot;"/>
    <numFmt numFmtId="300" formatCode="&quot;half RHOa=&quot;\ 0.00000&quot;  M,p45&quot;"/>
    <numFmt numFmtId="301" formatCode="&quot;b=Pi*AR=  &quot;0.0"/>
    <numFmt numFmtId="302" formatCode="&quot;A= &quot;0.00"/>
    <numFmt numFmtId="303" formatCode="&quot;v_boat &quot;\ #0.000&quot; ft/s&quot;"/>
    <numFmt numFmtId="304" formatCode="&quot;Fv restricted= &quot;#00.0000"/>
    <numFmt numFmtId="305" formatCode="&quot;Theta=&quot;00.0\ &quot;deg&quot;"/>
    <numFmt numFmtId="306" formatCode="&quot; &quot;\ #0.0&quot; knots&quot;"/>
    <numFmt numFmtId="307" formatCode="&quot;Ct*COS()=&quot;0.0000"/>
    <numFmt numFmtId="308" formatCode="&quot;Rudders Ap=&quot;0.0\ &quot;sq ft&quot;"/>
    <numFmt numFmtId="309" formatCode="&quot;a =&quot;0.00&quot; forAR=2 rudder&quot;"/>
    <numFmt numFmtId="310" formatCode="&quot; Rudder factor &quot;#0.000"/>
    <numFmt numFmtId="311" formatCode="&quot; Rudder angle i= &quot;0.00\ &quot; deg&quot;"/>
    <numFmt numFmtId="312" formatCode="&quot;Rudder Fh=&quot;\ #0.00&quot; lbs&quot;"/>
    <numFmt numFmtId="313" formatCode="&quot;CG of boat=&quot;\ #0.0&quot; ft&quot;"/>
    <numFmt numFmtId="314" formatCode="&quot;Pitch Righting arm=&quot;0.0&quot;ft&quot;"/>
    <numFmt numFmtId="315" formatCode="&quot;Pitch Moment=&quot;#000&quot;ftlb&quot;"/>
    <numFmt numFmtId="316" formatCode="&quot;Reqd CB/CG sepn=&quot;0.00&quot;ft&quot;"/>
    <numFmt numFmtId="317" formatCode="&quot;Boat Pitch Rt. Mom=&quot;#000&quot;ftlb&quot;"/>
    <numFmt numFmtId="318" formatCode="0.00000000000000"/>
    <numFmt numFmtId="319" formatCode="0.0000000000000"/>
    <numFmt numFmtId="320" formatCode="&quot;Overall CG =&quot;\ #0.00&quot; ft&quot;"/>
    <numFmt numFmtId="321" formatCode="&quot;Total Force=&quot;000.0\ &quot;lb&quot;"/>
    <numFmt numFmtId="322" formatCode="&quot;row of  larger =&quot;#0"/>
    <numFmt numFmtId="323" formatCode="&quot;Max CtCos()= &quot;0.00000"/>
    <numFmt numFmtId="324" formatCode="&quot;Alpha =&quot;\ 00.00&quot; deg&quot;"/>
    <numFmt numFmtId="325" formatCode="&quot;Side Force on hulls , Fh=&quot;\ #00.0&quot; lbs&quot;"/>
    <numFmt numFmtId="326" formatCode="&quot;.5* Rhow*A=&quot;00.00"/>
    <numFmt numFmtId="327" formatCode="&quot;Ai_ rudder=&quot;\ 0.000000"/>
    <numFmt numFmtId="328" formatCode="&quot;Hull Ind drag=&quot;\ #0.0&quot; lbs&quot;"/>
    <numFmt numFmtId="329" formatCode="&quot;Rudder Ind drag=&quot;\ #0.0&quot; lbs&quot;"/>
    <numFmt numFmtId="330" formatCode="&quot;Leeway angle Lamda=&quot;\ #0.00&quot; deg&quot;"/>
    <numFmt numFmtId="331" formatCode="&quot;Friction drag=&quot;\ #00.0&quot; lbs&quot;"/>
    <numFmt numFmtId="332" formatCode="&quot;Side Force  , Fh=&quot;\ #00.0&quot; lbs&quot;"/>
    <numFmt numFmtId="333" formatCode="&quot;CB from bow =&quot;\ #0.00&quot; ft&quot;"/>
    <numFmt numFmtId="334" formatCode="&quot;Stationary CB of boat=&quot;\ #0.0&quot; ft&quot;"/>
    <numFmt numFmtId="335" formatCode="&quot;Ave Crew dist back=&quot;\ #0.0&quot; ft&quot;"/>
    <numFmt numFmtId="336" formatCode="&quot;Min lateral crew dist=&quot;00.0&quot;ft&quot;"/>
    <numFmt numFmtId="337" formatCode="&quot;adi=a^2/b=&quot;0.0000000"/>
    <numFmt numFmtId="338" formatCode="&quot;K(v)=a/(adi*0.8*Fh/Fr)=&quot;#00.000"/>
    <numFmt numFmtId="339" formatCode="&quot;Min boom angle =&quot;\ 00.0&quot; deg&quot;"/>
    <numFmt numFmtId="340" formatCode="&quot;Heeling arm=&quot;00.000&quot;ft&quot;"/>
    <numFmt numFmtId="341" formatCode="&quot;Sheeting angle =&quot;\ 00.0&quot; deg&quot;"/>
    <numFmt numFmtId="342" formatCode="0.000E+00"/>
    <numFmt numFmtId="343" formatCode="&quot;Wcoeff=&quot;#.0000"/>
    <numFmt numFmtId="344" formatCode="&quot;Cwf=&quot;0.00000"/>
    <numFmt numFmtId="345" formatCode="&quot;Cwf=Cw/(...)=&quot;#0.0000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Alignment="1">
      <alignment horizontal="center"/>
    </xf>
    <xf numFmtId="190" fontId="1" fillId="0" borderId="0" xfId="0" applyNumberFormat="1" applyFont="1" applyAlignment="1">
      <alignment horizontal="center"/>
    </xf>
    <xf numFmtId="195" fontId="1" fillId="0" borderId="0" xfId="0" applyNumberFormat="1" applyFont="1" applyAlignment="1">
      <alignment/>
    </xf>
    <xf numFmtId="196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center"/>
    </xf>
    <xf numFmtId="202" fontId="1" fillId="0" borderId="0" xfId="0" applyNumberFormat="1" applyFont="1" applyAlignment="1">
      <alignment horizontal="center"/>
    </xf>
    <xf numFmtId="203" fontId="1" fillId="0" borderId="0" xfId="0" applyNumberFormat="1" applyFont="1" applyAlignment="1">
      <alignment horizontal="center"/>
    </xf>
    <xf numFmtId="204" fontId="1" fillId="0" borderId="0" xfId="0" applyNumberFormat="1" applyFont="1" applyAlignment="1">
      <alignment horizontal="center"/>
    </xf>
    <xf numFmtId="20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6" fontId="1" fillId="0" borderId="0" xfId="0" applyNumberFormat="1" applyFont="1" applyAlignment="1">
      <alignment horizontal="center"/>
    </xf>
    <xf numFmtId="207" fontId="1" fillId="0" borderId="0" xfId="0" applyNumberFormat="1" applyFont="1" applyAlignment="1">
      <alignment horizontal="center"/>
    </xf>
    <xf numFmtId="209" fontId="1" fillId="0" borderId="0" xfId="0" applyNumberFormat="1" applyFont="1" applyAlignment="1">
      <alignment/>
    </xf>
    <xf numFmtId="210" fontId="1" fillId="0" borderId="0" xfId="0" applyNumberFormat="1" applyFont="1" applyAlignment="1">
      <alignment/>
    </xf>
    <xf numFmtId="211" fontId="1" fillId="0" borderId="0" xfId="0" applyNumberFormat="1" applyFont="1" applyAlignment="1">
      <alignment horizontal="center"/>
    </xf>
    <xf numFmtId="212" fontId="1" fillId="0" borderId="0" xfId="0" applyNumberFormat="1" applyFont="1" applyAlignment="1">
      <alignment/>
    </xf>
    <xf numFmtId="213" fontId="1" fillId="0" borderId="0" xfId="0" applyNumberFormat="1" applyFont="1" applyAlignment="1">
      <alignment horizontal="center"/>
    </xf>
    <xf numFmtId="214" fontId="1" fillId="0" borderId="0" xfId="0" applyNumberFormat="1" applyFont="1" applyAlignment="1">
      <alignment/>
    </xf>
    <xf numFmtId="216" fontId="1" fillId="0" borderId="0" xfId="0" applyNumberFormat="1" applyFont="1" applyAlignment="1">
      <alignment/>
    </xf>
    <xf numFmtId="217" fontId="1" fillId="0" borderId="0" xfId="0" applyNumberFormat="1" applyFont="1" applyAlignment="1">
      <alignment/>
    </xf>
    <xf numFmtId="219" fontId="1" fillId="0" borderId="0" xfId="0" applyNumberFormat="1" applyFont="1" applyAlignment="1">
      <alignment horizontal="center"/>
    </xf>
    <xf numFmtId="194" fontId="1" fillId="0" borderId="0" xfId="0" applyNumberFormat="1" applyFont="1" applyAlignment="1">
      <alignment horizontal="center"/>
    </xf>
    <xf numFmtId="218" fontId="1" fillId="0" borderId="0" xfId="0" applyNumberFormat="1" applyFont="1" applyAlignment="1">
      <alignment horizontal="center"/>
    </xf>
    <xf numFmtId="218" fontId="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97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95" fontId="2" fillId="0" borderId="0" xfId="0" applyNumberFormat="1" applyFont="1" applyAlignment="1">
      <alignment horizontal="center"/>
    </xf>
    <xf numFmtId="215" fontId="2" fillId="0" borderId="0" xfId="0" applyNumberFormat="1" applyFont="1" applyAlignment="1">
      <alignment/>
    </xf>
    <xf numFmtId="220" fontId="2" fillId="0" borderId="0" xfId="0" applyNumberFormat="1" applyFont="1" applyAlignment="1">
      <alignment horizontal="center"/>
    </xf>
    <xf numFmtId="208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196" fontId="2" fillId="0" borderId="0" xfId="0" applyNumberFormat="1" applyFont="1" applyAlignment="1">
      <alignment horizontal="center"/>
    </xf>
    <xf numFmtId="221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222" fontId="1" fillId="0" borderId="0" xfId="0" applyNumberFormat="1" applyFont="1" applyAlignment="1">
      <alignment horizontal="center"/>
    </xf>
    <xf numFmtId="224" fontId="1" fillId="0" borderId="0" xfId="0" applyNumberFormat="1" applyFont="1" applyAlignment="1">
      <alignment horizontal="center"/>
    </xf>
    <xf numFmtId="227" fontId="1" fillId="0" borderId="0" xfId="0" applyNumberFormat="1" applyFont="1" applyAlignment="1">
      <alignment/>
    </xf>
    <xf numFmtId="228" fontId="1" fillId="0" borderId="0" xfId="0" applyNumberFormat="1" applyFont="1" applyAlignment="1">
      <alignment horizontal="center"/>
    </xf>
    <xf numFmtId="229" fontId="1" fillId="0" borderId="0" xfId="0" applyNumberFormat="1" applyFont="1" applyAlignment="1">
      <alignment horizontal="center"/>
    </xf>
    <xf numFmtId="230" fontId="1" fillId="0" borderId="0" xfId="0" applyNumberFormat="1" applyFont="1" applyAlignment="1">
      <alignment horizontal="center"/>
    </xf>
    <xf numFmtId="231" fontId="1" fillId="0" borderId="0" xfId="0" applyNumberFormat="1" applyFont="1" applyAlignment="1">
      <alignment horizontal="center"/>
    </xf>
    <xf numFmtId="232" fontId="2" fillId="0" borderId="0" xfId="0" applyNumberFormat="1" applyFont="1" applyAlignment="1">
      <alignment horizontal="center"/>
    </xf>
    <xf numFmtId="237" fontId="0" fillId="0" borderId="0" xfId="0" applyNumberFormat="1" applyAlignment="1">
      <alignment/>
    </xf>
    <xf numFmtId="238" fontId="0" fillId="0" borderId="0" xfId="0" applyNumberFormat="1" applyAlignment="1">
      <alignment/>
    </xf>
    <xf numFmtId="239" fontId="1" fillId="0" borderId="0" xfId="0" applyNumberFormat="1" applyFont="1" applyAlignment="1">
      <alignment horizontal="center"/>
    </xf>
    <xf numFmtId="240" fontId="1" fillId="0" borderId="0" xfId="0" applyNumberFormat="1" applyFont="1" applyAlignment="1">
      <alignment horizontal="center"/>
    </xf>
    <xf numFmtId="241" fontId="1" fillId="0" borderId="0" xfId="0" applyNumberFormat="1" applyFont="1" applyAlignment="1">
      <alignment horizontal="center"/>
    </xf>
    <xf numFmtId="242" fontId="2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243" fontId="1" fillId="0" borderId="0" xfId="0" applyNumberFormat="1" applyFont="1" applyAlignment="1">
      <alignment horizontal="center"/>
    </xf>
    <xf numFmtId="245" fontId="1" fillId="0" borderId="0" xfId="0" applyNumberFormat="1" applyFont="1" applyAlignment="1">
      <alignment horizontal="center"/>
    </xf>
    <xf numFmtId="0" fontId="1" fillId="0" borderId="0" xfId="0" applyFont="1" applyAlignment="1">
      <alignment shrinkToFit="1"/>
    </xf>
    <xf numFmtId="246" fontId="1" fillId="0" borderId="0" xfId="0" applyNumberFormat="1" applyFont="1" applyAlignment="1">
      <alignment horizontal="center"/>
    </xf>
    <xf numFmtId="247" fontId="1" fillId="0" borderId="0" xfId="0" applyNumberFormat="1" applyFont="1" applyAlignment="1">
      <alignment horizontal="center"/>
    </xf>
    <xf numFmtId="249" fontId="0" fillId="0" borderId="0" xfId="0" applyNumberFormat="1" applyAlignment="1">
      <alignment/>
    </xf>
    <xf numFmtId="248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50" fontId="1" fillId="0" borderId="0" xfId="0" applyNumberFormat="1" applyFont="1" applyAlignment="1">
      <alignment/>
    </xf>
    <xf numFmtId="251" fontId="1" fillId="0" borderId="0" xfId="0" applyNumberFormat="1" applyFont="1" applyAlignment="1">
      <alignment/>
    </xf>
    <xf numFmtId="252" fontId="1" fillId="0" borderId="0" xfId="0" applyNumberFormat="1" applyFont="1" applyAlignment="1">
      <alignment/>
    </xf>
    <xf numFmtId="253" fontId="1" fillId="0" borderId="0" xfId="0" applyNumberFormat="1" applyFont="1" applyAlignment="1">
      <alignment horizontal="center"/>
    </xf>
    <xf numFmtId="254" fontId="0" fillId="0" borderId="0" xfId="0" applyNumberFormat="1" applyAlignment="1">
      <alignment/>
    </xf>
    <xf numFmtId="208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255" fontId="1" fillId="0" borderId="0" xfId="0" applyNumberFormat="1" applyFont="1" applyAlignment="1">
      <alignment horizontal="center"/>
    </xf>
    <xf numFmtId="256" fontId="1" fillId="0" borderId="0" xfId="0" applyNumberFormat="1" applyFont="1" applyAlignment="1">
      <alignment/>
    </xf>
    <xf numFmtId="257" fontId="1" fillId="0" borderId="0" xfId="0" applyNumberFormat="1" applyFont="1" applyAlignment="1">
      <alignment/>
    </xf>
    <xf numFmtId="258" fontId="1" fillId="0" borderId="0" xfId="0" applyNumberFormat="1" applyFont="1" applyAlignment="1">
      <alignment/>
    </xf>
    <xf numFmtId="259" fontId="1" fillId="0" borderId="0" xfId="0" applyNumberFormat="1" applyFont="1" applyAlignment="1">
      <alignment/>
    </xf>
    <xf numFmtId="260" fontId="2" fillId="0" borderId="0" xfId="0" applyNumberFormat="1" applyFont="1" applyAlignment="1">
      <alignment horizontal="center"/>
    </xf>
    <xf numFmtId="261" fontId="2" fillId="0" borderId="0" xfId="0" applyNumberFormat="1" applyFont="1" applyAlignment="1">
      <alignment horizontal="center"/>
    </xf>
    <xf numFmtId="262" fontId="1" fillId="0" borderId="0" xfId="0" applyNumberFormat="1" applyFont="1" applyAlignment="1">
      <alignment horizontal="center"/>
    </xf>
    <xf numFmtId="263" fontId="1" fillId="0" borderId="0" xfId="0" applyNumberFormat="1" applyFont="1" applyAlignment="1">
      <alignment/>
    </xf>
    <xf numFmtId="264" fontId="1" fillId="0" borderId="0" xfId="0" applyNumberFormat="1" applyFont="1" applyAlignment="1">
      <alignment horizontal="center"/>
    </xf>
    <xf numFmtId="265" fontId="1" fillId="0" borderId="0" xfId="0" applyNumberFormat="1" applyFont="1" applyAlignment="1">
      <alignment horizontal="center"/>
    </xf>
    <xf numFmtId="266" fontId="1" fillId="0" borderId="0" xfId="0" applyNumberFormat="1" applyFont="1" applyAlignment="1">
      <alignment horizontal="center"/>
    </xf>
    <xf numFmtId="267" fontId="0" fillId="0" borderId="0" xfId="0" applyNumberFormat="1" applyAlignment="1">
      <alignment/>
    </xf>
    <xf numFmtId="268" fontId="1" fillId="0" borderId="0" xfId="0" applyNumberFormat="1" applyFont="1" applyAlignment="1">
      <alignment/>
    </xf>
    <xf numFmtId="269" fontId="1" fillId="0" borderId="0" xfId="0" applyNumberFormat="1" applyFont="1" applyAlignment="1">
      <alignment/>
    </xf>
    <xf numFmtId="270" fontId="1" fillId="0" borderId="0" xfId="0" applyNumberFormat="1" applyFont="1" applyAlignment="1">
      <alignment/>
    </xf>
    <xf numFmtId="271" fontId="1" fillId="0" borderId="0" xfId="0" applyNumberFormat="1" applyFont="1" applyAlignment="1">
      <alignment/>
    </xf>
    <xf numFmtId="272" fontId="1" fillId="0" borderId="10" xfId="0" applyNumberFormat="1" applyFont="1" applyBorder="1" applyAlignment="1">
      <alignment/>
    </xf>
    <xf numFmtId="273" fontId="1" fillId="0" borderId="11" xfId="0" applyNumberFormat="1" applyFont="1" applyBorder="1" applyAlignment="1">
      <alignment/>
    </xf>
    <xf numFmtId="274" fontId="1" fillId="0" borderId="11" xfId="0" applyNumberFormat="1" applyFont="1" applyBorder="1" applyAlignment="1">
      <alignment horizontal="center"/>
    </xf>
    <xf numFmtId="251" fontId="1" fillId="0" borderId="11" xfId="0" applyNumberFormat="1" applyFont="1" applyBorder="1" applyAlignment="1">
      <alignment horizontal="center"/>
    </xf>
    <xf numFmtId="275" fontId="1" fillId="0" borderId="11" xfId="0" applyNumberFormat="1" applyFont="1" applyBorder="1" applyAlignment="1">
      <alignment horizontal="center"/>
    </xf>
    <xf numFmtId="276" fontId="1" fillId="0" borderId="11" xfId="0" applyNumberFormat="1" applyFont="1" applyBorder="1" applyAlignment="1">
      <alignment horizontal="center"/>
    </xf>
    <xf numFmtId="228" fontId="1" fillId="0" borderId="11" xfId="0" applyNumberFormat="1" applyFont="1" applyBorder="1" applyAlignment="1">
      <alignment horizontal="center"/>
    </xf>
    <xf numFmtId="216" fontId="1" fillId="0" borderId="12" xfId="0" applyNumberFormat="1" applyFont="1" applyBorder="1" applyAlignment="1">
      <alignment/>
    </xf>
    <xf numFmtId="27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03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79" fontId="2" fillId="0" borderId="11" xfId="0" applyNumberFormat="1" applyFont="1" applyBorder="1" applyAlignment="1">
      <alignment horizontal="center"/>
    </xf>
    <xf numFmtId="280" fontId="2" fillId="0" borderId="11" xfId="0" applyNumberFormat="1" applyFont="1" applyBorder="1" applyAlignment="1">
      <alignment horizontal="center"/>
    </xf>
    <xf numFmtId="281" fontId="2" fillId="0" borderId="11" xfId="0" applyNumberFormat="1" applyFont="1" applyBorder="1" applyAlignment="1">
      <alignment horizontal="center"/>
    </xf>
    <xf numFmtId="282" fontId="2" fillId="0" borderId="11" xfId="0" applyNumberFormat="1" applyFont="1" applyBorder="1" applyAlignment="1">
      <alignment horizontal="center"/>
    </xf>
    <xf numFmtId="283" fontId="1" fillId="0" borderId="0" xfId="0" applyNumberFormat="1" applyFont="1" applyAlignment="1">
      <alignment horizontal="center"/>
    </xf>
    <xf numFmtId="284" fontId="1" fillId="0" borderId="0" xfId="0" applyNumberFormat="1" applyFont="1" applyAlignment="1">
      <alignment horizontal="center"/>
    </xf>
    <xf numFmtId="279" fontId="2" fillId="0" borderId="0" xfId="0" applyNumberFormat="1" applyFont="1" applyAlignment="1">
      <alignment horizontal="center"/>
    </xf>
    <xf numFmtId="285" fontId="2" fillId="0" borderId="0" xfId="0" applyNumberFormat="1" applyFont="1" applyAlignment="1">
      <alignment horizontal="center"/>
    </xf>
    <xf numFmtId="286" fontId="1" fillId="0" borderId="0" xfId="0" applyNumberFormat="1" applyFont="1" applyAlignment="1">
      <alignment horizontal="center"/>
    </xf>
    <xf numFmtId="287" fontId="1" fillId="0" borderId="0" xfId="0" applyNumberFormat="1" applyFont="1" applyAlignment="1">
      <alignment horizontal="center"/>
    </xf>
    <xf numFmtId="288" fontId="1" fillId="0" borderId="0" xfId="0" applyNumberFormat="1" applyFont="1" applyAlignment="1">
      <alignment/>
    </xf>
    <xf numFmtId="223" fontId="2" fillId="0" borderId="0" xfId="0" applyNumberFormat="1" applyFont="1" applyAlignment="1">
      <alignment/>
    </xf>
    <xf numFmtId="289" fontId="2" fillId="0" borderId="0" xfId="0" applyNumberFormat="1" applyFont="1" applyAlignment="1">
      <alignment/>
    </xf>
    <xf numFmtId="278" fontId="2" fillId="0" borderId="0" xfId="0" applyNumberFormat="1" applyFont="1" applyAlignment="1">
      <alignment horizontal="center"/>
    </xf>
    <xf numFmtId="216" fontId="2" fillId="0" borderId="0" xfId="0" applyNumberFormat="1" applyFont="1" applyAlignment="1">
      <alignment horizontal="center"/>
    </xf>
    <xf numFmtId="290" fontId="1" fillId="0" borderId="0" xfId="0" applyNumberFormat="1" applyFont="1" applyAlignment="1">
      <alignment horizontal="center"/>
    </xf>
    <xf numFmtId="292" fontId="1" fillId="0" borderId="0" xfId="0" applyNumberFormat="1" applyFont="1" applyAlignment="1">
      <alignment/>
    </xf>
    <xf numFmtId="293" fontId="1" fillId="0" borderId="0" xfId="0" applyNumberFormat="1" applyFont="1" applyAlignment="1">
      <alignment/>
    </xf>
    <xf numFmtId="294" fontId="1" fillId="0" borderId="0" xfId="0" applyNumberFormat="1" applyFont="1" applyAlignment="1">
      <alignment horizontal="center"/>
    </xf>
    <xf numFmtId="231" fontId="6" fillId="0" borderId="0" xfId="0" applyNumberFormat="1" applyFont="1" applyAlignment="1">
      <alignment/>
    </xf>
    <xf numFmtId="215" fontId="2" fillId="0" borderId="0" xfId="0" applyNumberFormat="1" applyFont="1" applyAlignment="1">
      <alignment horizontal="center"/>
    </xf>
    <xf numFmtId="29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95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296" fontId="2" fillId="0" borderId="0" xfId="0" applyNumberFormat="1" applyFont="1" applyAlignment="1">
      <alignment horizontal="center"/>
    </xf>
    <xf numFmtId="228" fontId="2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98" fontId="1" fillId="0" borderId="0" xfId="0" applyNumberFormat="1" applyFont="1" applyAlignment="1">
      <alignment horizontal="center"/>
    </xf>
    <xf numFmtId="299" fontId="2" fillId="0" borderId="11" xfId="0" applyNumberFormat="1" applyFont="1" applyBorder="1" applyAlignment="1">
      <alignment horizontal="center"/>
    </xf>
    <xf numFmtId="300" fontId="1" fillId="0" borderId="0" xfId="0" applyNumberFormat="1" applyFont="1" applyAlignment="1">
      <alignment horizontal="center"/>
    </xf>
    <xf numFmtId="301" fontId="1" fillId="0" borderId="0" xfId="0" applyNumberFormat="1" applyFont="1" applyAlignment="1">
      <alignment/>
    </xf>
    <xf numFmtId="302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304" fontId="3" fillId="0" borderId="0" xfId="0" applyNumberFormat="1" applyFont="1" applyAlignment="1">
      <alignment/>
    </xf>
    <xf numFmtId="305" fontId="1" fillId="0" borderId="0" xfId="0" applyNumberFormat="1" applyFont="1" applyAlignment="1">
      <alignment horizontal="center"/>
    </xf>
    <xf numFmtId="306" fontId="2" fillId="0" borderId="0" xfId="0" applyNumberFormat="1" applyFont="1" applyAlignment="1">
      <alignment horizontal="center"/>
    </xf>
    <xf numFmtId="307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08" fontId="1" fillId="0" borderId="0" xfId="0" applyNumberFormat="1" applyFont="1" applyAlignment="1">
      <alignment horizontal="center"/>
    </xf>
    <xf numFmtId="303" fontId="2" fillId="0" borderId="0" xfId="0" applyNumberFormat="1" applyFont="1" applyAlignment="1">
      <alignment horizontal="center"/>
    </xf>
    <xf numFmtId="309" fontId="1" fillId="0" borderId="0" xfId="0" applyNumberFormat="1" applyFont="1" applyAlignment="1">
      <alignment horizontal="center"/>
    </xf>
    <xf numFmtId="310" fontId="1" fillId="0" borderId="0" xfId="0" applyNumberFormat="1" applyFont="1" applyAlignment="1">
      <alignment horizontal="center"/>
    </xf>
    <xf numFmtId="311" fontId="1" fillId="0" borderId="0" xfId="0" applyNumberFormat="1" applyFont="1" applyAlignment="1">
      <alignment horizontal="center"/>
    </xf>
    <xf numFmtId="312" fontId="1" fillId="0" borderId="0" xfId="0" applyNumberFormat="1" applyFont="1" applyAlignment="1">
      <alignment horizontal="center"/>
    </xf>
    <xf numFmtId="313" fontId="1" fillId="0" borderId="0" xfId="0" applyNumberFormat="1" applyFont="1" applyAlignment="1">
      <alignment/>
    </xf>
    <xf numFmtId="314" fontId="1" fillId="0" borderId="0" xfId="0" applyNumberFormat="1" applyFont="1" applyAlignment="1">
      <alignment/>
    </xf>
    <xf numFmtId="315" fontId="1" fillId="0" borderId="0" xfId="0" applyNumberFormat="1" applyFont="1" applyAlignment="1">
      <alignment/>
    </xf>
    <xf numFmtId="316" fontId="1" fillId="0" borderId="0" xfId="0" applyNumberFormat="1" applyFont="1" applyAlignment="1">
      <alignment/>
    </xf>
    <xf numFmtId="317" fontId="1" fillId="0" borderId="0" xfId="0" applyNumberFormat="1" applyFont="1" applyAlignment="1">
      <alignment/>
    </xf>
    <xf numFmtId="318" fontId="0" fillId="0" borderId="0" xfId="0" applyNumberFormat="1" applyAlignment="1">
      <alignment/>
    </xf>
    <xf numFmtId="319" fontId="0" fillId="0" borderId="0" xfId="0" applyNumberFormat="1" applyAlignment="1">
      <alignment/>
    </xf>
    <xf numFmtId="320" fontId="1" fillId="0" borderId="0" xfId="0" applyNumberFormat="1" applyFont="1" applyAlignment="1">
      <alignment/>
    </xf>
    <xf numFmtId="321" fontId="7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322" fontId="0" fillId="0" borderId="0" xfId="0" applyNumberFormat="1" applyAlignment="1">
      <alignment horizontal="center"/>
    </xf>
    <xf numFmtId="323" fontId="1" fillId="0" borderId="0" xfId="0" applyNumberFormat="1" applyFont="1" applyAlignment="1">
      <alignment horizontal="center"/>
    </xf>
    <xf numFmtId="324" fontId="0" fillId="0" borderId="0" xfId="0" applyNumberFormat="1" applyAlignment="1">
      <alignment horizontal="center"/>
    </xf>
    <xf numFmtId="325" fontId="1" fillId="0" borderId="11" xfId="0" applyNumberFormat="1" applyFont="1" applyBorder="1" applyAlignment="1">
      <alignment horizontal="center"/>
    </xf>
    <xf numFmtId="326" fontId="1" fillId="0" borderId="0" xfId="0" applyNumberFormat="1" applyFont="1" applyAlignment="1">
      <alignment horizontal="center"/>
    </xf>
    <xf numFmtId="327" fontId="1" fillId="0" borderId="0" xfId="0" applyNumberFormat="1" applyFont="1" applyAlignment="1">
      <alignment horizontal="center"/>
    </xf>
    <xf numFmtId="328" fontId="2" fillId="0" borderId="11" xfId="0" applyNumberFormat="1" applyFont="1" applyBorder="1" applyAlignment="1">
      <alignment horizontal="center"/>
    </xf>
    <xf numFmtId="330" fontId="2" fillId="0" borderId="11" xfId="0" applyNumberFormat="1" applyFont="1" applyBorder="1" applyAlignment="1">
      <alignment horizontal="center"/>
    </xf>
    <xf numFmtId="329" fontId="2" fillId="0" borderId="11" xfId="0" applyNumberFormat="1" applyFont="1" applyBorder="1" applyAlignment="1">
      <alignment horizontal="center"/>
    </xf>
    <xf numFmtId="216" fontId="2" fillId="0" borderId="12" xfId="0" applyNumberFormat="1" applyFont="1" applyBorder="1" applyAlignment="1">
      <alignment/>
    </xf>
    <xf numFmtId="229" fontId="2" fillId="0" borderId="0" xfId="0" applyNumberFormat="1" applyFont="1" applyAlignment="1">
      <alignment horizontal="center"/>
    </xf>
    <xf numFmtId="331" fontId="2" fillId="0" borderId="11" xfId="0" applyNumberFormat="1" applyFont="1" applyBorder="1" applyAlignment="1">
      <alignment horizontal="center"/>
    </xf>
    <xf numFmtId="332" fontId="2" fillId="0" borderId="11" xfId="0" applyNumberFormat="1" applyFont="1" applyBorder="1" applyAlignment="1">
      <alignment horizontal="center"/>
    </xf>
    <xf numFmtId="333" fontId="0" fillId="0" borderId="0" xfId="0" applyNumberFormat="1" applyAlignment="1">
      <alignment/>
    </xf>
    <xf numFmtId="334" fontId="27" fillId="0" borderId="0" xfId="0" applyNumberFormat="1" applyFont="1" applyAlignment="1">
      <alignment/>
    </xf>
    <xf numFmtId="335" fontId="1" fillId="0" borderId="0" xfId="0" applyNumberFormat="1" applyFont="1" applyAlignment="1">
      <alignment/>
    </xf>
    <xf numFmtId="336" fontId="1" fillId="0" borderId="0" xfId="0" applyNumberFormat="1" applyFont="1" applyAlignment="1">
      <alignment horizontal="center"/>
    </xf>
    <xf numFmtId="297" fontId="2" fillId="0" borderId="0" xfId="0" applyNumberFormat="1" applyFont="1" applyAlignment="1">
      <alignment horizontal="center"/>
    </xf>
    <xf numFmtId="337" fontId="1" fillId="0" borderId="0" xfId="0" applyNumberFormat="1" applyFont="1" applyAlignment="1">
      <alignment horizontal="center"/>
    </xf>
    <xf numFmtId="338" fontId="1" fillId="0" borderId="11" xfId="0" applyNumberFormat="1" applyFont="1" applyBorder="1" applyAlignment="1">
      <alignment horizontal="center"/>
    </xf>
    <xf numFmtId="339" fontId="1" fillId="0" borderId="0" xfId="0" applyNumberFormat="1" applyFont="1" applyAlignment="1">
      <alignment/>
    </xf>
    <xf numFmtId="340" fontId="1" fillId="0" borderId="0" xfId="0" applyNumberFormat="1" applyFont="1" applyAlignment="1">
      <alignment/>
    </xf>
    <xf numFmtId="34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42" fontId="1" fillId="0" borderId="0" xfId="0" applyNumberFormat="1" applyFont="1" applyAlignment="1">
      <alignment horizontal="center"/>
    </xf>
    <xf numFmtId="343" fontId="1" fillId="0" borderId="0" xfId="0" applyNumberFormat="1" applyFont="1" applyAlignment="1">
      <alignment horizontal="center"/>
    </xf>
    <xf numFmtId="344" fontId="1" fillId="0" borderId="0" xfId="0" applyNumberFormat="1" applyFont="1" applyAlignment="1">
      <alignment horizontal="center"/>
    </xf>
    <xf numFmtId="345" fontId="1" fillId="0" borderId="0" xfId="0" applyNumberFormat="1" applyFont="1" applyAlignment="1">
      <alignment horizontal="center"/>
    </xf>
    <xf numFmtId="233" fontId="1" fillId="0" borderId="0" xfId="0" applyNumberFormat="1" applyFont="1" applyAlignment="1">
      <alignment horizontal="center"/>
    </xf>
    <xf numFmtId="234" fontId="1" fillId="0" borderId="0" xfId="0" applyNumberFormat="1" applyFont="1" applyAlignment="1">
      <alignment horizontal="center"/>
    </xf>
    <xf numFmtId="235" fontId="1" fillId="0" borderId="0" xfId="0" applyNumberFormat="1" applyFont="1" applyAlignment="1">
      <alignment horizontal="center"/>
    </xf>
    <xf numFmtId="244" fontId="1" fillId="0" borderId="0" xfId="0" applyNumberFormat="1" applyFont="1" applyAlignment="1">
      <alignment horizontal="center"/>
    </xf>
    <xf numFmtId="225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5"/>
  <sheetViews>
    <sheetView tabSelected="1" zoomScalePageLayoutView="0" workbookViewId="0" topLeftCell="A12">
      <selection activeCell="D28" sqref="D28"/>
    </sheetView>
  </sheetViews>
  <sheetFormatPr defaultColWidth="9.140625" defaultRowHeight="12.75"/>
  <cols>
    <col min="1" max="1" width="18.28125" style="0" customWidth="1"/>
    <col min="2" max="2" width="18.140625" style="0" customWidth="1"/>
    <col min="3" max="3" width="20.7109375" style="0" customWidth="1"/>
    <col min="4" max="4" width="24.140625" style="0" customWidth="1"/>
    <col min="5" max="5" width="27.8515625" style="0" customWidth="1"/>
    <col min="6" max="6" width="20.57421875" style="0" customWidth="1"/>
    <col min="7" max="7" width="19.00390625" style="0" customWidth="1"/>
    <col min="8" max="8" width="16.28125" style="0" customWidth="1"/>
    <col min="9" max="9" width="21.28125" style="0" customWidth="1"/>
    <col min="10" max="10" width="18.00390625" style="0" customWidth="1"/>
  </cols>
  <sheetData>
    <row r="2" spans="1:8" ht="12.75">
      <c r="A2" s="1" t="s">
        <v>43</v>
      </c>
      <c r="B2" s="1"/>
      <c r="C2" s="1"/>
      <c r="D2" s="1"/>
      <c r="E2" s="10" t="s">
        <v>32</v>
      </c>
      <c r="F2" s="34" t="s">
        <v>44</v>
      </c>
      <c r="G2" s="2" t="s">
        <v>45</v>
      </c>
      <c r="H2" s="2"/>
    </row>
    <row r="3" spans="1:8" ht="12.75">
      <c r="A3" s="2" t="s">
        <v>6</v>
      </c>
      <c r="B3" s="2"/>
      <c r="C3" s="2"/>
      <c r="D3" s="2" t="s">
        <v>14</v>
      </c>
      <c r="E3" s="2"/>
      <c r="F3" s="2"/>
      <c r="G3" s="2"/>
      <c r="H3" s="2"/>
    </row>
    <row r="4" spans="1:8" ht="12.75">
      <c r="A4" s="2" t="s">
        <v>7</v>
      </c>
      <c r="B4" s="2"/>
      <c r="C4" s="2"/>
      <c r="D4" s="2"/>
      <c r="E4" s="2" t="s">
        <v>15</v>
      </c>
      <c r="F4" s="2"/>
      <c r="G4" s="2"/>
      <c r="H4" s="2"/>
    </row>
    <row r="5" spans="1:8" ht="12.75">
      <c r="A5" s="2"/>
      <c r="B5" s="2"/>
      <c r="C5" s="2"/>
      <c r="D5" s="2" t="s">
        <v>9</v>
      </c>
      <c r="G5" s="2"/>
      <c r="H5" s="2">
        <v>7</v>
      </c>
    </row>
    <row r="6" spans="1:8" ht="12.75">
      <c r="A6" s="2"/>
      <c r="B6" s="2"/>
      <c r="C6" s="2"/>
      <c r="D6" s="2" t="s">
        <v>13</v>
      </c>
      <c r="E6" s="2"/>
      <c r="F6" s="2"/>
      <c r="G6" s="2"/>
      <c r="H6" s="2"/>
    </row>
    <row r="7" spans="1:8" ht="12.75">
      <c r="A7" s="53">
        <f>PI()</f>
        <v>3.141592653589793</v>
      </c>
      <c r="B7" s="2"/>
      <c r="C7" s="52">
        <v>143</v>
      </c>
      <c r="D7" s="34" t="s">
        <v>42</v>
      </c>
      <c r="E7" s="79">
        <f>2*Ap</f>
        <v>43.58305158698583</v>
      </c>
      <c r="F7" s="2"/>
      <c r="G7" s="2" t="s">
        <v>10</v>
      </c>
      <c r="H7" s="2"/>
    </row>
    <row r="8" spans="1:8" ht="12.75">
      <c r="A8" s="212" t="s">
        <v>5</v>
      </c>
      <c r="B8" s="213"/>
      <c r="C8" s="213"/>
      <c r="D8" s="221">
        <f>0.0000111</f>
        <v>1.11E-05</v>
      </c>
      <c r="E8" s="112">
        <f>60</f>
        <v>60</v>
      </c>
      <c r="F8" s="218">
        <v>300</v>
      </c>
      <c r="G8" s="2" t="s">
        <v>11</v>
      </c>
      <c r="H8" s="2"/>
    </row>
    <row r="9" spans="1:8" ht="12.75">
      <c r="A9" s="34" t="s">
        <v>47</v>
      </c>
      <c r="B9" s="86"/>
      <c r="C9" s="160">
        <v>0.00119</v>
      </c>
      <c r="D9" s="222">
        <f>LWL/nu</f>
        <v>1261261.2612612613</v>
      </c>
      <c r="E9" s="70"/>
      <c r="F9" s="219">
        <v>170</v>
      </c>
      <c r="G9" s="2" t="s">
        <v>12</v>
      </c>
      <c r="H9" s="2"/>
    </row>
    <row r="10" spans="1:9" ht="12.75">
      <c r="A10" s="54" t="s">
        <v>46</v>
      </c>
      <c r="B10" s="2"/>
      <c r="C10" s="2"/>
      <c r="D10" s="2"/>
      <c r="E10" s="2"/>
      <c r="F10" s="34"/>
      <c r="G10" s="2"/>
      <c r="H10" s="2"/>
      <c r="I10" s="175">
        <v>7.5</v>
      </c>
    </row>
    <row r="11" spans="1:9" ht="12.75">
      <c r="A11" s="87"/>
      <c r="B11" s="2"/>
      <c r="C11" s="2"/>
      <c r="D11" s="2"/>
      <c r="E11" s="2"/>
      <c r="F11" s="220">
        <f>Boat_wt+Crew</f>
        <v>470</v>
      </c>
      <c r="G11" s="71">
        <f>$F$11/2240</f>
        <v>0.20982142857142858</v>
      </c>
      <c r="H11" s="104">
        <f>Delta/(LWL/100)^3</f>
        <v>76.46553519366928</v>
      </c>
      <c r="I11" s="203">
        <v>7.5</v>
      </c>
    </row>
    <row r="12" spans="1:9" ht="12.75">
      <c r="A12" s="88"/>
      <c r="B12" s="2"/>
      <c r="D12" s="2"/>
      <c r="E12" s="49"/>
      <c r="F12" s="2"/>
      <c r="G12" s="210">
        <v>10.25</v>
      </c>
      <c r="H12" s="108">
        <v>3.25</v>
      </c>
      <c r="I12" s="176"/>
    </row>
    <row r="13" spans="1:10" ht="12.75">
      <c r="A13" s="34"/>
      <c r="B13" s="2"/>
      <c r="D13" s="2" t="s">
        <v>8</v>
      </c>
      <c r="E13" s="76">
        <v>10</v>
      </c>
      <c r="F13" s="29">
        <f>V*knot</f>
        <v>16.88888888888889</v>
      </c>
      <c r="G13" s="101">
        <f>Boat_wt*Right_arm</f>
        <v>975</v>
      </c>
      <c r="H13" s="158">
        <v>0.007</v>
      </c>
      <c r="I13" s="2"/>
      <c r="J13" s="2"/>
    </row>
    <row r="14" spans="1:9" ht="12.75">
      <c r="A14" s="155">
        <v>45</v>
      </c>
      <c r="B14" s="2"/>
      <c r="C14" s="85"/>
      <c r="D14" s="2"/>
      <c r="E14" s="45">
        <v>14</v>
      </c>
      <c r="F14" s="80">
        <f>SQRT(LWL*W/(2*TAN(PI()/6)))/(4*COS(PI()/6))</f>
        <v>21.791525793492916</v>
      </c>
      <c r="G14" s="140">
        <v>0.004</v>
      </c>
      <c r="H14" s="207">
        <f>a^2/b</f>
        <v>8.166666666666668E-05</v>
      </c>
      <c r="I14" s="2" t="s">
        <v>16</v>
      </c>
    </row>
    <row r="15" spans="1:9" ht="12.75">
      <c r="A15" s="95">
        <f>COS(Pi/180*Beta)</f>
        <v>0.7071067811865476</v>
      </c>
      <c r="B15" s="28"/>
      <c r="C15" s="23"/>
      <c r="D15" s="2"/>
      <c r="E15" s="66">
        <v>4</v>
      </c>
      <c r="F15" s="46">
        <v>1.99</v>
      </c>
      <c r="G15" s="215">
        <f>0.75*Delta</f>
        <v>0.15736607142857142</v>
      </c>
      <c r="H15" s="2" t="s">
        <v>29</v>
      </c>
      <c r="I15" s="179"/>
    </row>
    <row r="16" spans="1:9" ht="12.75">
      <c r="A16" s="55"/>
      <c r="B16" s="27"/>
      <c r="C16" s="50"/>
      <c r="D16" s="2"/>
      <c r="E16" s="2"/>
      <c r="F16" s="134">
        <f>0.5*Rhow*Aw</f>
        <v>43.365136329050905</v>
      </c>
      <c r="G16" s="69">
        <f>G15/LWL^(Kappa/2)</f>
        <v>0.0008028881195335277</v>
      </c>
      <c r="H16" s="2"/>
      <c r="I16" s="177">
        <f>Heel_arm*Fr</f>
        <v>579.3494883462671</v>
      </c>
    </row>
    <row r="17" spans="1:9" ht="12.75">
      <c r="A17" s="26" t="s">
        <v>51</v>
      </c>
      <c r="B17" s="2"/>
      <c r="C17" s="51">
        <f>6080/3600</f>
        <v>1.6888888888888889</v>
      </c>
      <c r="D17" s="2"/>
      <c r="E17" s="2"/>
      <c r="F17" s="133">
        <f>0.5*Rhow*Ap</f>
        <v>21.682568164525453</v>
      </c>
      <c r="G17" s="216">
        <f>Cw/(0.5*Rhow*Ap)/adi</f>
        <v>0.45341875656656455</v>
      </c>
      <c r="H17" s="161">
        <v>0.6</v>
      </c>
      <c r="I17" s="182"/>
    </row>
    <row r="18" spans="1:9" ht="12.75">
      <c r="A18" s="3" t="s">
        <v>48</v>
      </c>
      <c r="B18" s="2"/>
      <c r="C18" s="2"/>
      <c r="D18" s="5"/>
      <c r="E18" s="117">
        <f>MaxBoom+AlphaOPt</f>
        <v>75</v>
      </c>
      <c r="F18" s="24"/>
      <c r="G18" s="25"/>
      <c r="H18" s="2"/>
      <c r="I18" s="204">
        <v>10</v>
      </c>
    </row>
    <row r="19" spans="1:9" ht="12.75">
      <c r="A19" s="3" t="s">
        <v>50</v>
      </c>
      <c r="B19" s="2"/>
      <c r="C19" s="2"/>
      <c r="D19" s="5"/>
      <c r="E19" s="128" t="s">
        <v>19</v>
      </c>
      <c r="F19" s="56"/>
      <c r="G19" s="169">
        <v>2.5</v>
      </c>
      <c r="H19" s="2"/>
      <c r="I19" s="182">
        <f>(I18*Crew+CG_Boat*Boat_wt)/W</f>
        <v>8.404255319148936</v>
      </c>
    </row>
    <row r="20" spans="1:9" ht="12.75">
      <c r="A20" s="3" t="s">
        <v>49</v>
      </c>
      <c r="B20" s="2"/>
      <c r="C20" s="5" t="s">
        <v>4</v>
      </c>
      <c r="D20" s="41" t="s">
        <v>30</v>
      </c>
      <c r="E20" s="118">
        <f>IF(Betaa&gt;MaxVaOpt,Betaa-MaxBoom,AlphaOPt)</f>
        <v>15</v>
      </c>
      <c r="F20" s="24"/>
      <c r="G20" s="171">
        <v>0.05</v>
      </c>
      <c r="H20" s="2"/>
      <c r="I20" s="178">
        <f>Pitch_Mom/W</f>
        <v>1.2326584858431215</v>
      </c>
    </row>
    <row r="21" spans="1:9" ht="12.75">
      <c r="A21" s="217"/>
      <c r="B21" s="2"/>
      <c r="C21" s="166">
        <v>7.340772926295181</v>
      </c>
      <c r="D21" s="36" t="s">
        <v>52</v>
      </c>
      <c r="E21" s="119">
        <f>ROUND(E20,0)</f>
        <v>15</v>
      </c>
      <c r="F21" s="47"/>
      <c r="G21" s="48"/>
      <c r="H21" s="82"/>
      <c r="I21" s="202">
        <f>I19-I20</f>
        <v>7.171596833305815</v>
      </c>
    </row>
    <row r="22" spans="1:9" ht="12.75">
      <c r="A22" s="33"/>
      <c r="B22" s="2"/>
      <c r="C22" s="170">
        <f>C21*$C$17</f>
        <v>12.397749831076306</v>
      </c>
      <c r="D22" s="61">
        <f>0.455/LOG10(C23)^2.58-1700/C23</f>
        <v>0.0026902933312354135</v>
      </c>
      <c r="E22" s="120">
        <f>IF(E21&lt;=35,MATCH(E21,A59:A89,0),"")</f>
        <v>11</v>
      </c>
      <c r="F22" s="168"/>
      <c r="G22" s="172">
        <f>G20*0.5*Rhow*G19*v_boat^2</f>
        <v>19.116959983697853</v>
      </c>
      <c r="H22" s="2"/>
      <c r="I22" s="98" t="s">
        <v>41</v>
      </c>
    </row>
    <row r="23" spans="1:8" ht="12.75">
      <c r="A23" s="33"/>
      <c r="B23" s="1"/>
      <c r="C23" s="214">
        <f>$D$9*C22</f>
        <v>15636801.58874489</v>
      </c>
      <c r="D23" s="36" t="s">
        <v>53</v>
      </c>
      <c r="E23" s="121">
        <f>IF(E20&lt;=35,INDEX(D59:D89,E22),D89)</f>
        <v>0.4518718051224162</v>
      </c>
      <c r="F23" s="167">
        <f>IF(E20&lt;=35,INDEX(E59:E89,E22),E89)</f>
        <v>1.4512793913424835</v>
      </c>
      <c r="G23" s="173">
        <f>G24/G22</f>
        <v>1.8991694301644717</v>
      </c>
      <c r="H23" s="2"/>
    </row>
    <row r="24" spans="1:8" ht="12.75">
      <c r="A24" s="3"/>
      <c r="B24" s="139"/>
      <c r="C24" s="206">
        <f>CD0</f>
        <v>0.004</v>
      </c>
      <c r="D24" s="61" t="s">
        <v>54</v>
      </c>
      <c r="E24" s="132">
        <f>halfRHOa*Sa*E23*Va^2</f>
        <v>56.52190130207484</v>
      </c>
      <c r="F24" s="201">
        <f>halfRHOa*Sa*F23*Va^2</f>
        <v>181.53172999358227</v>
      </c>
      <c r="G24" s="174">
        <f>0.2*F24</f>
        <v>36.30634599871646</v>
      </c>
      <c r="H24" s="2"/>
    </row>
    <row r="25" spans="1:9" ht="12.75">
      <c r="A25" s="3"/>
      <c r="B25" s="2"/>
      <c r="C25" s="35">
        <f>SQRT($F$13^2+C22^2+2*$F$13*C22*CosBeta)</f>
        <v>27.111856660032316</v>
      </c>
      <c r="D25" s="25" t="s">
        <v>58</v>
      </c>
      <c r="E25" s="122">
        <f>IF(E20&lt;=35,INDEX(C59:C89,E22),E21)</f>
        <v>8.840000000000002</v>
      </c>
      <c r="F25" s="32" t="s">
        <v>37</v>
      </c>
      <c r="G25" s="193">
        <f>0.5*Rhow*G19</f>
        <v>2.4875</v>
      </c>
      <c r="I25" s="211">
        <f>Betaa-AlphaOPt-lamda</f>
        <v>4.969850482944013</v>
      </c>
    </row>
    <row r="26" spans="1:9" ht="12.75">
      <c r="A26" s="3"/>
      <c r="B26" s="1"/>
      <c r="C26" s="32">
        <f>(C22+$F$13*CosBeta)/Va</f>
        <v>0.8977621118437547</v>
      </c>
      <c r="D26" s="25"/>
      <c r="E26" s="123">
        <f>1/TAN((Betaa-Eps)*Pi/180)</f>
        <v>3.2117060079668365</v>
      </c>
      <c r="F26" s="73"/>
      <c r="G26" s="194">
        <f>G20^2/(Pi*2)</f>
        <v>0.00039788735772973844</v>
      </c>
      <c r="H26" s="185" t="s">
        <v>38</v>
      </c>
      <c r="I26" s="180"/>
    </row>
    <row r="27" spans="1:10" ht="12.75">
      <c r="A27" s="3"/>
      <c r="B27" s="1"/>
      <c r="C27" s="199">
        <f>IF(Beta&lt;&gt;180,ACOS(C26)*180/Pi,180)</f>
        <v>26.134551611606298</v>
      </c>
      <c r="D27" s="25"/>
      <c r="E27" s="208">
        <f>IF(Beta&lt;&gt;180,a/(adi*E26*0.8),"")</f>
        <v>33.36010733145643</v>
      </c>
      <c r="F27" s="65"/>
      <c r="G27" s="60"/>
      <c r="H27" s="184">
        <f>lamda^2-K_v*lamda+CD0/adi*(Aw/Ap)+Cwf*v_boat^(Kappa-2)</f>
        <v>0</v>
      </c>
      <c r="I27" s="180"/>
      <c r="J27" s="181"/>
    </row>
    <row r="28" spans="1:9" ht="12.75">
      <c r="A28" s="3"/>
      <c r="B28" s="1"/>
      <c r="C28" s="110"/>
      <c r="D28" s="25"/>
      <c r="E28" s="127">
        <f>IF(Beta&lt;&gt;180,SQRT(K_v^2-4*(Cf/adi*(Aw/Ap)+Cwf*v_boat^(Kappa-2))),"")</f>
        <v>21.030705074131863</v>
      </c>
      <c r="F28" s="25"/>
      <c r="G28" s="130">
        <f>IF(Beta&lt;&gt;180,G26*G25*G23^2*v_boat^2,0)</f>
        <v>0.5487018054596245</v>
      </c>
      <c r="I28" s="180"/>
    </row>
    <row r="29" spans="1:8" ht="12.75">
      <c r="A29" s="97"/>
      <c r="B29" s="2"/>
      <c r="C29" s="111"/>
      <c r="D29" s="25"/>
      <c r="E29" s="196">
        <f>IF(Beta&lt;&gt;180,(K_v-Root)/2,0)</f>
        <v>6.164701128662285</v>
      </c>
      <c r="F29" s="25"/>
      <c r="G29" s="129"/>
      <c r="H29" s="163"/>
    </row>
    <row r="30" spans="1:8" ht="12.75">
      <c r="A30" s="3"/>
      <c r="C30" s="59"/>
      <c r="D30" s="25"/>
      <c r="E30" s="157"/>
      <c r="F30" s="183">
        <f>SQRT(Fr^2+F24^2)</f>
        <v>190.12757380575903</v>
      </c>
      <c r="G30" s="156"/>
      <c r="H30" s="156"/>
    </row>
    <row r="31" spans="1:7" ht="12.75">
      <c r="A31" s="3"/>
      <c r="B31" s="2"/>
      <c r="C31" s="72"/>
      <c r="D31" s="109" t="s">
        <v>36</v>
      </c>
      <c r="E31" s="192">
        <f>a*lamda*F17*v_boat^2</f>
        <v>143.81577438041978</v>
      </c>
      <c r="F31" s="165">
        <f>DEGREES(ATAN(Fr/Fh))</f>
        <v>21.455621129870853</v>
      </c>
      <c r="G31" s="34"/>
    </row>
    <row r="32" spans="1:7" ht="12.75">
      <c r="A32" s="3"/>
      <c r="B32" s="81">
        <f>Kv^2-4*(CD0/cplusd*(Aw/Ap)+Cwf*C22^(Kappa-2))</f>
        <v>-670.6062052511777</v>
      </c>
      <c r="C32" s="34"/>
      <c r="D32" s="31" t="s">
        <v>55</v>
      </c>
      <c r="E32" s="200">
        <f>Cf*$F$16*v_boat^2</f>
        <v>26.661614500987113</v>
      </c>
      <c r="F32" s="34"/>
      <c r="G32" s="31"/>
    </row>
    <row r="33" spans="1:8" ht="12.75">
      <c r="A33" s="3"/>
      <c r="B33" s="2"/>
      <c r="C33" s="31"/>
      <c r="D33" s="105"/>
      <c r="E33" s="195">
        <f>IF(Beta&lt;&gt;180,adi*$F$17*lamda^2*v_boat^2,0)</f>
        <v>10.34344811082817</v>
      </c>
      <c r="F33" s="31"/>
      <c r="G33" s="130"/>
      <c r="H33" s="65"/>
    </row>
    <row r="34" spans="1:8" ht="12.75">
      <c r="A34" s="3"/>
      <c r="B34" s="126"/>
      <c r="C34" s="135"/>
      <c r="D34" s="107"/>
      <c r="E34" s="131">
        <f>Cw*v_boat^Kappa</f>
        <v>18.96821686320353</v>
      </c>
      <c r="F34" s="65" t="s">
        <v>56</v>
      </c>
      <c r="G34" s="30"/>
      <c r="H34" s="65"/>
    </row>
    <row r="35" spans="1:8" ht="12.75">
      <c r="A35" s="3"/>
      <c r="B35" s="126"/>
      <c r="C35" s="84"/>
      <c r="D35" s="39"/>
      <c r="E35" s="197">
        <f>G28</f>
        <v>0.5487018054596245</v>
      </c>
      <c r="F35" s="65" t="s">
        <v>18</v>
      </c>
      <c r="G35" s="39"/>
      <c r="H35" s="65"/>
    </row>
    <row r="36" spans="1:8" ht="12.75">
      <c r="A36" s="3"/>
      <c r="B36" s="2"/>
      <c r="C36" s="39"/>
      <c r="D36" s="106"/>
      <c r="E36" s="198">
        <f>Fr-Form_Drag-Ind_Drag-Wave_Res-E35</f>
        <v>-7.997840360018937E-05</v>
      </c>
      <c r="F36" s="65" t="s">
        <v>33</v>
      </c>
      <c r="G36" s="124"/>
      <c r="H36" s="1"/>
    </row>
    <row r="37" spans="1:8" ht="12.75">
      <c r="A37" s="3"/>
      <c r="B37" s="2"/>
      <c r="C37" s="141">
        <f>C21/SQRT(LWL)</f>
        <v>1.961904088878752</v>
      </c>
      <c r="D37" s="125"/>
      <c r="E37" s="58"/>
      <c r="F37" s="1" t="s">
        <v>34</v>
      </c>
      <c r="G37" s="136"/>
      <c r="H37" s="2"/>
    </row>
    <row r="38" spans="1:8" ht="12.75">
      <c r="A38" s="3"/>
      <c r="B38" s="2"/>
      <c r="C38" s="58"/>
      <c r="D38" s="142" t="s">
        <v>21</v>
      </c>
      <c r="E38" s="149" t="s">
        <v>23</v>
      </c>
      <c r="F38" s="58"/>
      <c r="G38" s="138"/>
      <c r="H38" s="2"/>
    </row>
    <row r="39" spans="1:8" ht="12.75">
      <c r="A39" s="3"/>
      <c r="B39" s="2"/>
      <c r="C39" s="57"/>
      <c r="D39" s="143" t="s">
        <v>22</v>
      </c>
      <c r="E39" s="143" t="s">
        <v>24</v>
      </c>
      <c r="F39" s="57"/>
      <c r="G39" s="137"/>
      <c r="H39" s="162"/>
    </row>
    <row r="40" spans="1:8" ht="12.75">
      <c r="A40" s="3"/>
      <c r="B40" s="2"/>
      <c r="C40" s="43"/>
      <c r="D40" s="83"/>
      <c r="E40" s="37"/>
      <c r="F40" s="43"/>
      <c r="G40" s="25"/>
      <c r="H40" s="2"/>
    </row>
    <row r="41" spans="1:8" ht="12.75">
      <c r="A41" s="3"/>
      <c r="B41" s="2"/>
      <c r="C41" s="37"/>
      <c r="D41" s="147">
        <f>Right_arm*Boat_wt+Crew*6</f>
        <v>1995</v>
      </c>
      <c r="E41" s="74">
        <f>E24*E26</f>
        <v>181.5317299935823</v>
      </c>
      <c r="F41" s="37"/>
      <c r="H41" s="2"/>
    </row>
    <row r="42" spans="1:8" ht="12.75">
      <c r="A42" s="3"/>
      <c r="B42" s="2"/>
      <c r="C42" s="65"/>
      <c r="D42" s="144">
        <f>halfRHOa*Sa*Va^2*Heel_arm</f>
        <v>1282.1102838875197</v>
      </c>
      <c r="E42" s="75">
        <f>$G$12*E41</f>
        <v>1860.7002324342186</v>
      </c>
      <c r="F42" s="38"/>
      <c r="H42" s="2"/>
    </row>
    <row r="43" spans="1:8" ht="12.75">
      <c r="A43" s="3"/>
      <c r="B43" s="2"/>
      <c r="C43" s="25"/>
      <c r="D43" s="190">
        <f>D41/D42</f>
        <v>1.5560283893448768</v>
      </c>
      <c r="E43" s="205">
        <f>(E42-$G$13)/Crew</f>
        <v>5.2100013672601095</v>
      </c>
      <c r="F43" s="40"/>
      <c r="H43" s="2"/>
    </row>
    <row r="44" spans="1:8" ht="12.75">
      <c r="A44" s="3"/>
      <c r="B44" s="2"/>
      <c r="C44" s="25"/>
      <c r="D44" s="99"/>
      <c r="E44" s="99" t="str">
        <f>IF(E43&gt;7,"HELP","Balanced")</f>
        <v>Balanced</v>
      </c>
      <c r="F44" s="42"/>
      <c r="H44" s="2"/>
    </row>
    <row r="45" spans="3:6" ht="12" customHeight="1">
      <c r="C45" s="44"/>
      <c r="D45" s="150">
        <f>5-(E59-D43)/0.055</f>
        <v>15.993407107966034</v>
      </c>
      <c r="E45" s="100">
        <f>$G$12*E24</f>
        <v>579.3494883462671</v>
      </c>
      <c r="F45" s="44"/>
    </row>
    <row r="46" spans="1:4" ht="12" customHeight="1">
      <c r="A46" s="151" t="s">
        <v>25</v>
      </c>
      <c r="D46" s="145">
        <f>IF(D43&lt;E59,($B$47+$B$48*D45)*COS((Betaa-Reqd_Alpha)*PI()/180),D43)</f>
        <v>1.5560283893448768</v>
      </c>
    </row>
    <row r="47" spans="1:4" ht="12" customHeight="1">
      <c r="A47" s="98" t="s">
        <v>39</v>
      </c>
      <c r="B47" s="152">
        <v>0.75</v>
      </c>
      <c r="D47" s="146" t="e">
        <f>IF(D43&lt;E59,($B$47+$B$48*D45)*SIN((Betaa-Reqd_Alpha)*PI()/180),F91)</f>
        <v>#N/A</v>
      </c>
    </row>
    <row r="48" spans="2:4" ht="12" customHeight="1">
      <c r="B48" s="152">
        <v>0.06</v>
      </c>
      <c r="D48" s="132" t="e">
        <f>halfRHOa*Sa*D47*Va^2</f>
        <v>#N/A</v>
      </c>
    </row>
    <row r="49" spans="1:7" ht="12.75">
      <c r="A49" t="s">
        <v>26</v>
      </c>
      <c r="B49" s="153">
        <f>$B$48*COS(PI()/180*(Betaa-5))</f>
        <v>0.05596417637686735</v>
      </c>
      <c r="D49" s="159">
        <f>halfRHOa*Sa*D46*Va^2</f>
        <v>194.63414634146343</v>
      </c>
      <c r="E49" s="65" t="s">
        <v>57</v>
      </c>
      <c r="G49" s="77"/>
    </row>
    <row r="50" spans="1:7" ht="12.75">
      <c r="A50" t="s">
        <v>27</v>
      </c>
      <c r="B50" s="153">
        <f>$B$48*SIN(PI()/180*(Betaa-5))</f>
        <v>0.02163356102122077</v>
      </c>
      <c r="C50" s="77">
        <f>a*E29*(0.5*Rhow*Ap)*C22^2</f>
        <v>143.81577438041978</v>
      </c>
      <c r="D50" s="148">
        <f>D49*Heel_arm</f>
        <v>1995.0000000000002</v>
      </c>
      <c r="E50" s="65" t="s">
        <v>28</v>
      </c>
      <c r="G50" s="78"/>
    </row>
    <row r="51" spans="3:7" ht="12.75">
      <c r="C51" s="78">
        <f>(C24*$F$16+cplusd*E29^2*(0.5*Rhow*Ap))*C22^2+Cw*C22^Kappa</f>
        <v>55.97327947501881</v>
      </c>
      <c r="D51" s="164" t="e">
        <f>Fr_restricted-Form_Drag-Ind_Drag-Wave_Res</f>
        <v>#N/A</v>
      </c>
      <c r="E51" s="65" t="s">
        <v>31</v>
      </c>
      <c r="G51" s="96"/>
    </row>
    <row r="52" spans="3:5" ht="12.75">
      <c r="C52" s="96">
        <f>C50/C51</f>
        <v>2.569364806373469</v>
      </c>
      <c r="E52" s="154" t="s">
        <v>35</v>
      </c>
    </row>
    <row r="53" spans="1:8" ht="12.75">
      <c r="A53" s="9"/>
      <c r="B53" s="2"/>
      <c r="D53" s="2"/>
      <c r="E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10" ht="12.75">
      <c r="A55" s="114">
        <f>MAX(D59:D89)</f>
        <v>0.4518718051224162</v>
      </c>
      <c r="B55" s="93">
        <f>MATCH(A55,D59:D89,0)</f>
        <v>11</v>
      </c>
      <c r="C55" s="2"/>
      <c r="D55" s="115">
        <f>INDEX(B59:B89,B55)</f>
        <v>1.52</v>
      </c>
      <c r="E55" s="116">
        <f>INDEX(C60:C90,B55)</f>
        <v>9.3</v>
      </c>
      <c r="F55" s="2"/>
      <c r="G55" s="93"/>
      <c r="H55" s="102"/>
      <c r="I55" s="94"/>
      <c r="J55" s="103"/>
    </row>
    <row r="56" spans="3:6" ht="12.75">
      <c r="C56" s="113">
        <f>INDEX(A59:A89,B55)</f>
        <v>15</v>
      </c>
      <c r="E56" s="17"/>
      <c r="F56" s="92"/>
    </row>
    <row r="57" spans="1:9" ht="12.75">
      <c r="A57" s="10" t="s">
        <v>0</v>
      </c>
      <c r="B57" s="10"/>
      <c r="E57" s="20"/>
      <c r="F57" s="10"/>
      <c r="G57" s="10"/>
      <c r="I57" s="89"/>
    </row>
    <row r="58" spans="1:10" ht="12.75">
      <c r="A58" s="11" t="s">
        <v>1</v>
      </c>
      <c r="B58" s="11" t="s">
        <v>2</v>
      </c>
      <c r="C58" s="11" t="s">
        <v>3</v>
      </c>
      <c r="D58" s="11" t="s">
        <v>17</v>
      </c>
      <c r="E58" s="11" t="s">
        <v>20</v>
      </c>
      <c r="G58" s="11"/>
      <c r="H58" s="11"/>
      <c r="I58" s="11"/>
      <c r="J58" s="91"/>
    </row>
    <row r="59" spans="1:10" ht="12.75">
      <c r="A59" s="12">
        <v>5</v>
      </c>
      <c r="B59" s="11">
        <v>1.02</v>
      </c>
      <c r="C59" s="11">
        <v>5</v>
      </c>
      <c r="D59" s="61">
        <f aca="true" t="shared" si="0" ref="D59:D89">B59*SIN((Betaa-C59)*Pi/180)</f>
        <v>0.3677705373607531</v>
      </c>
      <c r="E59" s="61">
        <f aca="true" t="shared" si="1" ref="E59:E89">B59*COS((Betaa-C59)*Pi/180)</f>
        <v>0.9513909984067449</v>
      </c>
      <c r="F59" s="209">
        <v>14</v>
      </c>
      <c r="J59" s="90"/>
    </row>
    <row r="60" spans="1:10" ht="12.75">
      <c r="A60" s="12">
        <f>A59+1</f>
        <v>6</v>
      </c>
      <c r="B60" s="12">
        <f>B59+(B$64-B$59)/5</f>
        <v>1.08</v>
      </c>
      <c r="C60" s="11">
        <v>6</v>
      </c>
      <c r="D60" s="61">
        <f t="shared" si="0"/>
        <v>0.37176401831464484</v>
      </c>
      <c r="E60" s="61">
        <f t="shared" si="1"/>
        <v>1.0139977883045646</v>
      </c>
      <c r="F60" s="13">
        <v>15</v>
      </c>
      <c r="J60" s="90"/>
    </row>
    <row r="61" spans="1:10" ht="12.75">
      <c r="A61" s="12">
        <f aca="true" t="shared" si="2" ref="A61:A89">A60+1</f>
        <v>7</v>
      </c>
      <c r="B61" s="12">
        <f>B60+(B$64-B$59)/5</f>
        <v>1.1400000000000001</v>
      </c>
      <c r="C61" s="12">
        <f>C60+(C$65-C$60)/5</f>
        <v>6.2</v>
      </c>
      <c r="D61" s="61">
        <f t="shared" si="0"/>
        <v>0.3886790317299253</v>
      </c>
      <c r="E61" s="61">
        <f t="shared" si="1"/>
        <v>1.0716942709063475</v>
      </c>
      <c r="F61" s="21">
        <v>20</v>
      </c>
      <c r="J61" s="90"/>
    </row>
    <row r="62" spans="1:10" ht="12.75">
      <c r="A62" s="12">
        <f t="shared" si="2"/>
        <v>8</v>
      </c>
      <c r="B62" s="12">
        <f>B61+(B$64-B$59)/5</f>
        <v>1.2000000000000002</v>
      </c>
      <c r="C62" s="12">
        <f>C61+(C$65-C$60)/5</f>
        <v>6.4</v>
      </c>
      <c r="D62" s="61">
        <f t="shared" si="0"/>
        <v>0.40519552909560835</v>
      </c>
      <c r="E62" s="61">
        <f t="shared" si="1"/>
        <v>1.129520510305559</v>
      </c>
      <c r="F62" s="14">
        <f>Alpha_opt+S_exit</f>
        <v>35</v>
      </c>
      <c r="J62" s="90"/>
    </row>
    <row r="63" spans="1:10" ht="12.75">
      <c r="A63" s="12">
        <f t="shared" si="2"/>
        <v>9</v>
      </c>
      <c r="B63" s="12">
        <f>B62+(B$64-B$59)/5</f>
        <v>1.2600000000000002</v>
      </c>
      <c r="C63" s="12">
        <f>C62+(C$65-C$60)/5</f>
        <v>6.6000000000000005</v>
      </c>
      <c r="D63" s="61">
        <f t="shared" si="0"/>
        <v>0.42131281304485896</v>
      </c>
      <c r="E63" s="61">
        <f t="shared" si="1"/>
        <v>1.1874744264885153</v>
      </c>
      <c r="F63" s="15">
        <f>90+Alpha_opt</f>
        <v>105</v>
      </c>
      <c r="J63" s="90"/>
    </row>
    <row r="64" spans="1:10" ht="12.75">
      <c r="A64" s="12">
        <f t="shared" si="2"/>
        <v>10</v>
      </c>
      <c r="B64" s="11">
        <v>1.32</v>
      </c>
      <c r="C64" s="12">
        <f>C63+(C$65-C$60)/5</f>
        <v>6.800000000000001</v>
      </c>
      <c r="D64" s="61">
        <f t="shared" si="0"/>
        <v>0.43703019587926334</v>
      </c>
      <c r="E64" s="61">
        <f t="shared" si="1"/>
        <v>1.2455539361624341</v>
      </c>
      <c r="F64" s="16">
        <f>90+turn</f>
        <v>125</v>
      </c>
      <c r="J64" s="90"/>
    </row>
    <row r="65" spans="1:10" ht="12.75">
      <c r="A65" s="12">
        <f t="shared" si="2"/>
        <v>11</v>
      </c>
      <c r="B65" s="12">
        <f>B64+(B$69-B$64)/5</f>
        <v>1.36</v>
      </c>
      <c r="C65" s="11">
        <v>7</v>
      </c>
      <c r="D65" s="61">
        <f t="shared" si="0"/>
        <v>0.4457912459660467</v>
      </c>
      <c r="E65" s="61">
        <f t="shared" si="1"/>
        <v>1.284861924496185</v>
      </c>
      <c r="F65" s="18">
        <v>1.55</v>
      </c>
      <c r="J65" s="90"/>
    </row>
    <row r="66" spans="1:10" ht="12.75">
      <c r="A66" s="12">
        <f t="shared" si="2"/>
        <v>12</v>
      </c>
      <c r="B66" s="12">
        <f>B65+(B$69-B$64)/5</f>
        <v>1.4000000000000001</v>
      </c>
      <c r="C66" s="12">
        <f>C65+(C$70-C$65)/5</f>
        <v>7.46</v>
      </c>
      <c r="D66" s="61">
        <f t="shared" si="0"/>
        <v>0.4482691469119843</v>
      </c>
      <c r="E66" s="61">
        <f t="shared" si="1"/>
        <v>1.3262936220636825</v>
      </c>
      <c r="F66" s="19">
        <v>9.3</v>
      </c>
      <c r="J66" s="90"/>
    </row>
    <row r="67" spans="1:10" ht="12.75">
      <c r="A67" s="12">
        <f t="shared" si="2"/>
        <v>13</v>
      </c>
      <c r="B67" s="12">
        <f>B66+(B$69-B$64)/5</f>
        <v>1.4400000000000002</v>
      </c>
      <c r="C67" s="12">
        <f>C66+(C$70-C$65)/5</f>
        <v>7.92</v>
      </c>
      <c r="D67" s="61">
        <f t="shared" si="0"/>
        <v>0.4501096937216162</v>
      </c>
      <c r="E67" s="61">
        <f t="shared" si="1"/>
        <v>1.3678454823618906</v>
      </c>
      <c r="J67" s="90"/>
    </row>
    <row r="68" spans="1:10" ht="12.75">
      <c r="A68" s="12">
        <f t="shared" si="2"/>
        <v>14</v>
      </c>
      <c r="B68" s="12">
        <f>B67+(B$69-B$64)/5</f>
        <v>1.4800000000000002</v>
      </c>
      <c r="C68" s="12">
        <f>C67+(C$70-C$65)/5</f>
        <v>8.38</v>
      </c>
      <c r="D68" s="61">
        <f t="shared" si="0"/>
        <v>0.45131113631279524</v>
      </c>
      <c r="E68" s="61">
        <f t="shared" si="1"/>
        <v>1.409509935488237</v>
      </c>
      <c r="J68" s="90"/>
    </row>
    <row r="69" spans="1:10" ht="12.75">
      <c r="A69" s="12">
        <f t="shared" si="2"/>
        <v>15</v>
      </c>
      <c r="B69" s="11">
        <v>1.52</v>
      </c>
      <c r="C69" s="12">
        <f>C68+(C$70-C$65)/5</f>
        <v>8.840000000000002</v>
      </c>
      <c r="D69" s="61">
        <f t="shared" si="0"/>
        <v>0.4518718051224162</v>
      </c>
      <c r="E69" s="61">
        <f t="shared" si="1"/>
        <v>1.4512793913424835</v>
      </c>
      <c r="J69" s="90"/>
    </row>
    <row r="70" spans="1:10" ht="12.75">
      <c r="A70" s="12">
        <f t="shared" si="2"/>
        <v>16</v>
      </c>
      <c r="B70" s="11">
        <v>1.52</v>
      </c>
      <c r="C70" s="11">
        <v>9.3</v>
      </c>
      <c r="D70" s="61">
        <f t="shared" si="0"/>
        <v>0.4402057494880215</v>
      </c>
      <c r="E70" s="61">
        <f t="shared" si="1"/>
        <v>1.4548604393953701</v>
      </c>
      <c r="J70" s="90"/>
    </row>
    <row r="71" spans="1:10" ht="12.75">
      <c r="A71" s="12">
        <f t="shared" si="2"/>
        <v>17</v>
      </c>
      <c r="B71" s="12">
        <f>B70+(B$74-B$70)/4</f>
        <v>1.465</v>
      </c>
      <c r="C71" s="11">
        <v>10.3</v>
      </c>
      <c r="D71" s="61">
        <f t="shared" si="0"/>
        <v>0.3997405634159368</v>
      </c>
      <c r="E71" s="61">
        <f t="shared" si="1"/>
        <v>1.4094085575020148</v>
      </c>
      <c r="F71" s="186" t="s">
        <v>40</v>
      </c>
      <c r="J71" s="90"/>
    </row>
    <row r="72" spans="1:10" ht="12.75">
      <c r="A72" s="12">
        <f t="shared" si="2"/>
        <v>18</v>
      </c>
      <c r="B72" s="12">
        <f>B71+(B$74-B$70)/4</f>
        <v>1.4100000000000001</v>
      </c>
      <c r="C72" s="12">
        <f>C71+(C$75-C$71)/4</f>
        <v>11.65</v>
      </c>
      <c r="D72" s="61">
        <f t="shared" si="0"/>
        <v>0.3526677306603357</v>
      </c>
      <c r="E72" s="61">
        <f t="shared" si="1"/>
        <v>1.3651833106769542</v>
      </c>
      <c r="F72" s="12" t="str">
        <f>IF(E59&gt;$D$43,"G","L")</f>
        <v>L</v>
      </c>
      <c r="J72" s="90"/>
    </row>
    <row r="73" spans="1:10" ht="12.75">
      <c r="A73" s="12">
        <f t="shared" si="2"/>
        <v>19</v>
      </c>
      <c r="B73" s="12">
        <f>B72+(B$74-B$70)/4</f>
        <v>1.3550000000000002</v>
      </c>
      <c r="C73" s="12">
        <f>C72+(C$75-C$71)/4</f>
        <v>13</v>
      </c>
      <c r="D73" s="61">
        <f t="shared" si="0"/>
        <v>0.3079083193377441</v>
      </c>
      <c r="E73" s="61">
        <f t="shared" si="1"/>
        <v>1.3195519947628462</v>
      </c>
      <c r="F73" s="12" t="str">
        <f>IF(F72="G"," ",IF(F72=" "," ",IF(E60&gt;$D$43,"G","L")))</f>
        <v>L</v>
      </c>
      <c r="J73" s="90"/>
    </row>
    <row r="74" spans="1:10" ht="12.75">
      <c r="A74" s="12">
        <f t="shared" si="2"/>
        <v>20</v>
      </c>
      <c r="B74" s="11">
        <v>1.3</v>
      </c>
      <c r="C74" s="12">
        <f>C73+(C$75-C$71)/4</f>
        <v>14.35</v>
      </c>
      <c r="D74" s="61">
        <f t="shared" si="0"/>
        <v>0.2655017521722779</v>
      </c>
      <c r="E74" s="61">
        <f t="shared" si="1"/>
        <v>1.2725992376209607</v>
      </c>
      <c r="F74" s="12" t="str">
        <f aca="true" t="shared" si="3" ref="F74:F82">IF(F73="G"," ",IF(F73=" "," ",IF(E61&gt;$D$43,"G","L")))</f>
        <v>L</v>
      </c>
      <c r="J74" s="90"/>
    </row>
    <row r="75" spans="1:10" ht="12.75">
      <c r="A75" s="12">
        <f t="shared" si="2"/>
        <v>21</v>
      </c>
      <c r="B75" s="12">
        <f>B74+(B$84-B$74)/10</f>
        <v>1.295</v>
      </c>
      <c r="C75" s="11">
        <v>15.7</v>
      </c>
      <c r="D75" s="61">
        <f t="shared" si="0"/>
        <v>0.23454035691939856</v>
      </c>
      <c r="E75" s="61">
        <f t="shared" si="1"/>
        <v>1.2735838492129683</v>
      </c>
      <c r="F75" s="12" t="str">
        <f t="shared" si="3"/>
        <v>L</v>
      </c>
      <c r="J75" s="90"/>
    </row>
    <row r="76" spans="1:10" ht="12.75">
      <c r="A76" s="12">
        <f t="shared" si="2"/>
        <v>22</v>
      </c>
      <c r="B76" s="12">
        <f aca="true" t="shared" si="4" ref="B76:B83">B75+(B$84-B$74)/10</f>
        <v>1.29</v>
      </c>
      <c r="C76" s="12">
        <f>C75+(C$85-C$75)/10</f>
        <v>16.869999999999997</v>
      </c>
      <c r="D76" s="61">
        <f t="shared" si="0"/>
        <v>0.20768126847018953</v>
      </c>
      <c r="E76" s="61">
        <f t="shared" si="1"/>
        <v>1.2731726083790105</v>
      </c>
      <c r="F76" s="12" t="str">
        <f t="shared" si="3"/>
        <v>L</v>
      </c>
      <c r="J76" s="90"/>
    </row>
    <row r="77" spans="1:10" ht="12.75">
      <c r="A77" s="12">
        <f t="shared" si="2"/>
        <v>23</v>
      </c>
      <c r="B77" s="12">
        <f t="shared" si="4"/>
        <v>1.2850000000000001</v>
      </c>
      <c r="C77" s="12">
        <f aca="true" t="shared" si="5" ref="C77:C84">C76+(C$85-C$75)/10</f>
        <v>18.04</v>
      </c>
      <c r="D77" s="61">
        <f t="shared" si="0"/>
        <v>0.18093710764023546</v>
      </c>
      <c r="E77" s="61">
        <f t="shared" si="1"/>
        <v>1.272197611646393</v>
      </c>
      <c r="F77" s="12" t="str">
        <f t="shared" si="3"/>
        <v>L</v>
      </c>
      <c r="J77" s="90"/>
    </row>
    <row r="78" spans="1:10" ht="12.75">
      <c r="A78" s="12">
        <f t="shared" si="2"/>
        <v>24</v>
      </c>
      <c r="B78" s="12">
        <f t="shared" si="4"/>
        <v>1.2800000000000002</v>
      </c>
      <c r="C78" s="12">
        <f t="shared" si="5"/>
        <v>19.21</v>
      </c>
      <c r="D78" s="61">
        <f t="shared" si="0"/>
        <v>0.15431965532855585</v>
      </c>
      <c r="E78" s="61">
        <f t="shared" si="1"/>
        <v>1.2706633873608213</v>
      </c>
      <c r="F78" s="12" t="str">
        <f t="shared" si="3"/>
        <v>L</v>
      </c>
      <c r="J78" s="90"/>
    </row>
    <row r="79" spans="1:10" ht="12.75">
      <c r="A79" s="12">
        <f t="shared" si="2"/>
        <v>25</v>
      </c>
      <c r="B79" s="12">
        <f t="shared" si="4"/>
        <v>1.2750000000000004</v>
      </c>
      <c r="C79" s="12">
        <f t="shared" si="5"/>
        <v>20.380000000000003</v>
      </c>
      <c r="D79" s="61">
        <f t="shared" si="0"/>
        <v>0.12784055530587693</v>
      </c>
      <c r="E79" s="61">
        <f t="shared" si="1"/>
        <v>1.2685747090412476</v>
      </c>
      <c r="F79" s="12" t="str">
        <f t="shared" si="3"/>
        <v>L</v>
      </c>
      <c r="G79" s="98"/>
      <c r="H79" s="98"/>
      <c r="J79" s="90"/>
    </row>
    <row r="80" spans="1:10" ht="12.75">
      <c r="A80" s="12">
        <f t="shared" si="2"/>
        <v>26</v>
      </c>
      <c r="B80" s="12">
        <f t="shared" si="4"/>
        <v>1.2700000000000005</v>
      </c>
      <c r="C80" s="12">
        <f t="shared" si="5"/>
        <v>21.550000000000004</v>
      </c>
      <c r="D80" s="61">
        <f t="shared" si="0"/>
        <v>0.10151130913223502</v>
      </c>
      <c r="E80" s="61">
        <f t="shared" si="1"/>
        <v>1.2659365916657361</v>
      </c>
      <c r="F80" s="12" t="str">
        <f t="shared" si="3"/>
        <v>L</v>
      </c>
      <c r="J80" s="90"/>
    </row>
    <row r="81" spans="1:10" ht="12.75">
      <c r="A81" s="12">
        <f t="shared" si="2"/>
        <v>27</v>
      </c>
      <c r="B81" s="12">
        <f t="shared" si="4"/>
        <v>1.2650000000000006</v>
      </c>
      <c r="C81" s="12">
        <f t="shared" si="5"/>
        <v>22.720000000000006</v>
      </c>
      <c r="D81" s="61">
        <f t="shared" si="0"/>
        <v>0.0753432711691216</v>
      </c>
      <c r="E81" s="61">
        <f t="shared" si="1"/>
        <v>1.2627542878523668</v>
      </c>
      <c r="F81" s="12" t="str">
        <f t="shared" si="3"/>
        <v>L</v>
      </c>
      <c r="J81" s="90"/>
    </row>
    <row r="82" spans="1:10" ht="12.75">
      <c r="A82" s="12">
        <f t="shared" si="2"/>
        <v>28</v>
      </c>
      <c r="B82" s="12">
        <f t="shared" si="4"/>
        <v>1.2600000000000007</v>
      </c>
      <c r="C82" s="12">
        <f t="shared" si="5"/>
        <v>23.890000000000008</v>
      </c>
      <c r="D82" s="61">
        <f t="shared" si="0"/>
        <v>0.04934764368832975</v>
      </c>
      <c r="E82" s="61">
        <f t="shared" si="1"/>
        <v>1.2590332839374865</v>
      </c>
      <c r="F82" s="12" t="str">
        <f t="shared" si="3"/>
        <v>L</v>
      </c>
      <c r="J82" s="90"/>
    </row>
    <row r="83" spans="1:10" ht="12.75">
      <c r="A83" s="12">
        <f t="shared" si="2"/>
        <v>29</v>
      </c>
      <c r="B83" s="12">
        <f t="shared" si="4"/>
        <v>1.2550000000000008</v>
      </c>
      <c r="C83" s="12">
        <f t="shared" si="5"/>
        <v>25.06000000000001</v>
      </c>
      <c r="D83" s="61">
        <f t="shared" si="0"/>
        <v>0.023535472079607312</v>
      </c>
      <c r="E83" s="61">
        <f t="shared" si="1"/>
        <v>1.2547792959536717</v>
      </c>
      <c r="F83" s="189" t="e">
        <f>MATCH("G",F72:F82,0)</f>
        <v>#N/A</v>
      </c>
      <c r="J83" s="90"/>
    </row>
    <row r="84" spans="1:10" ht="12.75">
      <c r="A84" s="12">
        <f t="shared" si="2"/>
        <v>30</v>
      </c>
      <c r="B84" s="11">
        <v>1.25</v>
      </c>
      <c r="C84" s="12">
        <f t="shared" si="5"/>
        <v>26.23000000000001</v>
      </c>
      <c r="D84" s="61">
        <f t="shared" si="0"/>
        <v>-0.0020823598408348564</v>
      </c>
      <c r="E84" s="61">
        <f t="shared" si="1"/>
        <v>1.2499982655097939</v>
      </c>
      <c r="F84" s="188" t="e">
        <f>IF(F72="L",INDEX(E59:E69,F83-1)," ")</f>
        <v>#N/A</v>
      </c>
      <c r="J84" s="90"/>
    </row>
    <row r="85" spans="1:10" ht="12.75">
      <c r="A85" s="12">
        <f t="shared" si="2"/>
        <v>31</v>
      </c>
      <c r="B85" s="12">
        <f>B84+(B$89-B$84)/5</f>
        <v>1.24</v>
      </c>
      <c r="C85" s="11">
        <v>27.4</v>
      </c>
      <c r="D85" s="61">
        <f t="shared" si="0"/>
        <v>-0.02738471219238457</v>
      </c>
      <c r="E85" s="61">
        <f t="shared" si="1"/>
        <v>1.2396975750311607</v>
      </c>
      <c r="F85" s="188" t="e">
        <f>INDEX(E59:E69,F83)</f>
        <v>#N/A</v>
      </c>
      <c r="J85" s="90"/>
    </row>
    <row r="86" spans="1:10" ht="12.75">
      <c r="A86" s="12">
        <f t="shared" si="2"/>
        <v>32</v>
      </c>
      <c r="B86" s="12">
        <f>B85+(B$89-B$84)/5</f>
        <v>1.23</v>
      </c>
      <c r="C86" s="12">
        <f>C85+(C$90-C$85)/5</f>
        <v>28.72</v>
      </c>
      <c r="D86" s="61">
        <f t="shared" si="0"/>
        <v>-0.05548440773708247</v>
      </c>
      <c r="E86" s="61">
        <f t="shared" si="1"/>
        <v>1.2287479320422334</v>
      </c>
      <c r="F86" s="187" t="e">
        <f>IF(F72="L",($D$43-F84)/(F85-F84)," ")</f>
        <v>#N/A</v>
      </c>
      <c r="J86" s="90"/>
    </row>
    <row r="87" spans="1:10" ht="12.75">
      <c r="A87" s="12">
        <f t="shared" si="2"/>
        <v>33</v>
      </c>
      <c r="B87" s="12">
        <f>B86+(B$89-B$84)/5</f>
        <v>1.22</v>
      </c>
      <c r="C87" s="12">
        <f>C86+(C$90-C$85)/5</f>
        <v>30.04</v>
      </c>
      <c r="D87" s="61">
        <f t="shared" si="0"/>
        <v>-0.08309439820937066</v>
      </c>
      <c r="E87" s="61">
        <f t="shared" si="1"/>
        <v>1.2171669240437903</v>
      </c>
      <c r="F87" s="191" t="e">
        <f>IF(F72="L",INDEX(A59:A69,F83-1)+F86," ")</f>
        <v>#N/A</v>
      </c>
      <c r="J87" s="90"/>
    </row>
    <row r="88" spans="1:10" ht="12.75">
      <c r="A88" s="12">
        <f t="shared" si="2"/>
        <v>34</v>
      </c>
      <c r="B88" s="12">
        <f>B87+(B$89-B$84)/5</f>
        <v>1.21</v>
      </c>
      <c r="C88" s="12">
        <f>C87+(C$90-C$85)/5</f>
        <v>31.36</v>
      </c>
      <c r="D88" s="61">
        <f t="shared" si="0"/>
        <v>-0.11020063073299718</v>
      </c>
      <c r="E88" s="61">
        <f t="shared" si="1"/>
        <v>1.2049712946730513</v>
      </c>
      <c r="J88" s="90"/>
    </row>
    <row r="89" spans="1:10" ht="12.75">
      <c r="A89" s="12">
        <f t="shared" si="2"/>
        <v>35</v>
      </c>
      <c r="B89" s="11">
        <v>1.2</v>
      </c>
      <c r="C89" s="12">
        <f>C88+(C$90-C$85)/5</f>
        <v>32.68</v>
      </c>
      <c r="D89" s="61">
        <f t="shared" si="0"/>
        <v>-0.13678956375601814</v>
      </c>
      <c r="E89" s="61">
        <f t="shared" si="1"/>
        <v>1.1921780971178082</v>
      </c>
      <c r="F89" s="188" t="e">
        <f>IF(F72="L",INDEX(D59:D69,F83-1)," ")</f>
        <v>#N/A</v>
      </c>
      <c r="J89" s="90"/>
    </row>
    <row r="90" spans="3:6" ht="12.75">
      <c r="C90" s="11">
        <v>34</v>
      </c>
      <c r="F90" s="188" t="e">
        <f>INDEX(D59:D69,F83)</f>
        <v>#N/A</v>
      </c>
    </row>
    <row r="91" spans="1:8" ht="12.75">
      <c r="A91" s="1"/>
      <c r="B91" s="1"/>
      <c r="D91" s="2"/>
      <c r="E91" s="2"/>
      <c r="F91" s="188" t="e">
        <f>IF(F72="L",F89+F86*(F90-F89),"L")</f>
        <v>#N/A</v>
      </c>
      <c r="G91" s="2"/>
      <c r="H91" s="2"/>
    </row>
    <row r="92" spans="1:8" ht="12.75">
      <c r="A92" s="1"/>
      <c r="B92" s="1"/>
      <c r="C92" s="1"/>
      <c r="D92" s="2"/>
      <c r="E92" s="2"/>
      <c r="G92" s="2"/>
      <c r="H92" s="2"/>
    </row>
    <row r="93" spans="1:8" ht="12.75">
      <c r="A93" s="4"/>
      <c r="B93" s="2"/>
      <c r="C93" s="1"/>
      <c r="D93" s="5"/>
      <c r="E93" s="5"/>
      <c r="G93" s="5"/>
      <c r="H93" s="5"/>
    </row>
    <row r="94" spans="1:8" ht="12.75">
      <c r="A94" s="6"/>
      <c r="B94" s="2"/>
      <c r="C94" s="5"/>
      <c r="D94" s="60"/>
      <c r="E94" s="60"/>
      <c r="F94" s="5"/>
      <c r="G94" s="60"/>
      <c r="H94" s="60"/>
    </row>
    <row r="95" spans="1:8" ht="12.75">
      <c r="A95" s="7"/>
      <c r="B95" s="5"/>
      <c r="C95" s="34"/>
      <c r="D95" s="60"/>
      <c r="E95" s="60"/>
      <c r="F95" s="60"/>
      <c r="G95" s="60"/>
      <c r="H95" s="34"/>
    </row>
    <row r="96" spans="1:8" ht="12.75">
      <c r="A96" s="8"/>
      <c r="B96" s="5"/>
      <c r="C96" s="60"/>
      <c r="D96" s="60"/>
      <c r="E96" s="60"/>
      <c r="F96" s="60"/>
      <c r="G96" s="60"/>
      <c r="H96" s="34"/>
    </row>
    <row r="97" spans="1:8" ht="12.75">
      <c r="A97" s="9"/>
      <c r="B97" s="2"/>
      <c r="C97" s="60"/>
      <c r="D97" s="34"/>
      <c r="E97" s="34"/>
      <c r="F97" s="60"/>
      <c r="G97" s="34"/>
      <c r="H97" s="34"/>
    </row>
    <row r="98" spans="1:8" ht="12.75">
      <c r="A98" s="9"/>
      <c r="B98" s="2"/>
      <c r="C98" s="5"/>
      <c r="D98" s="34"/>
      <c r="E98" s="34"/>
      <c r="F98" s="34"/>
      <c r="G98" s="34"/>
      <c r="H98" s="34"/>
    </row>
    <row r="99" spans="1:8" ht="12.75">
      <c r="A99" s="68"/>
      <c r="B99" s="1"/>
      <c r="C99" s="34"/>
      <c r="D99" s="5"/>
      <c r="E99" s="5"/>
      <c r="F99" s="34"/>
      <c r="G99" s="5"/>
      <c r="H99" s="5"/>
    </row>
    <row r="100" spans="1:8" ht="12.75">
      <c r="A100" s="9"/>
      <c r="B100" s="2"/>
      <c r="C100" s="5"/>
      <c r="D100" s="61"/>
      <c r="E100" s="61"/>
      <c r="F100" s="5"/>
      <c r="G100" s="67"/>
      <c r="H100" s="34"/>
    </row>
    <row r="101" spans="1:8" ht="12.75">
      <c r="A101" s="9"/>
      <c r="B101" s="5"/>
      <c r="C101" s="34"/>
      <c r="D101" s="60"/>
      <c r="E101" s="60"/>
      <c r="F101" s="61"/>
      <c r="G101" s="34"/>
      <c r="H101" s="34"/>
    </row>
    <row r="102" spans="1:8" ht="12.75">
      <c r="A102" s="22"/>
      <c r="B102" s="5"/>
      <c r="C102" s="60"/>
      <c r="D102" s="60"/>
      <c r="E102" s="60"/>
      <c r="F102" s="60"/>
      <c r="G102" s="34"/>
      <c r="H102" s="34"/>
    </row>
    <row r="103" spans="1:8" ht="12.75">
      <c r="A103" s="22"/>
      <c r="B103" s="5"/>
      <c r="C103" s="60"/>
      <c r="D103" s="60"/>
      <c r="E103" s="60"/>
      <c r="F103" s="60"/>
      <c r="G103" s="34"/>
      <c r="H103" s="34"/>
    </row>
    <row r="104" spans="1:6" ht="12.75">
      <c r="A104" s="62"/>
      <c r="B104" s="34"/>
      <c r="C104" s="60"/>
      <c r="D104" s="34"/>
      <c r="E104" s="64"/>
      <c r="F104" s="60"/>
    </row>
    <row r="105" ht="12.75">
      <c r="C105" s="63"/>
    </row>
  </sheetData>
  <sheetProtection/>
  <mergeCells count="1">
    <mergeCell ref="A8:C8"/>
  </mergeCells>
  <printOptions gridLines="1" headings="1"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Forbes</dc:creator>
  <cp:keywords/>
  <dc:description/>
  <cp:lastModifiedBy>Keith</cp:lastModifiedBy>
  <cp:lastPrinted>2009-11-03T00:33:28Z</cp:lastPrinted>
  <dcterms:created xsi:type="dcterms:W3CDTF">1997-11-12T01:46:17Z</dcterms:created>
  <dcterms:modified xsi:type="dcterms:W3CDTF">2018-02-19T06:45:24Z</dcterms:modified>
  <cp:category/>
  <cp:version/>
  <cp:contentType/>
  <cp:contentStatus/>
</cp:coreProperties>
</file>